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570" windowHeight="10695" tabRatio="0"/>
  </bookViews>
  <sheets>
    <sheet name="TDSheet" sheetId="1" r:id="rId1"/>
  </sheets>
  <definedNames>
    <definedName name="_xlnm.Print_Titles" localSheetId="0">TDSheet!$5:$8</definedName>
    <definedName name="_xlnm.Print_Area" localSheetId="0">TDSheet!$A$1:$Q$240</definedName>
  </definedNames>
  <calcPr calcId="162913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H9" i="1"/>
  <c r="G9" i="1"/>
  <c r="F9" i="1"/>
  <c r="E9" i="1"/>
  <c r="I186" i="1"/>
  <c r="H186" i="1"/>
  <c r="G186" i="1"/>
  <c r="F186" i="1"/>
  <c r="E186" i="1"/>
  <c r="J22" i="1" l="1"/>
  <c r="Q22" i="1" s="1"/>
  <c r="O21" i="1"/>
  <c r="N21" i="1"/>
  <c r="N173" i="1" l="1"/>
  <c r="J173" i="1" s="1"/>
  <c r="Q173" i="1" s="1"/>
  <c r="O173" i="1"/>
  <c r="P173" i="1"/>
  <c r="E103" i="1" l="1"/>
  <c r="E101" i="1"/>
  <c r="H100" i="1"/>
  <c r="E100" i="1"/>
  <c r="H99" i="1"/>
  <c r="E99" i="1"/>
  <c r="E98" i="1"/>
  <c r="E97" i="1"/>
  <c r="E96" i="1"/>
  <c r="E95" i="1"/>
  <c r="E94" i="1"/>
  <c r="E93" i="1"/>
  <c r="E87" i="1"/>
  <c r="E85" i="1"/>
  <c r="E86" i="1"/>
  <c r="E84" i="1"/>
  <c r="E83" i="1"/>
  <c r="H97" i="1" l="1"/>
  <c r="H98" i="1"/>
  <c r="H96" i="1" s="1"/>
  <c r="H94" i="1" s="1"/>
  <c r="Q220" i="1"/>
  <c r="H95" i="1" l="1"/>
  <c r="H93" i="1" s="1"/>
  <c r="G92" i="1"/>
  <c r="G91" i="1"/>
  <c r="E223" i="1"/>
  <c r="E225" i="1"/>
  <c r="E226" i="1"/>
  <c r="E227" i="1"/>
  <c r="E228" i="1"/>
  <c r="E229" i="1"/>
  <c r="E230" i="1"/>
  <c r="E233" i="1"/>
  <c r="E234" i="1"/>
  <c r="E235" i="1"/>
  <c r="E236" i="1"/>
  <c r="E219" i="1"/>
  <c r="E220" i="1"/>
  <c r="H92" i="1" l="1"/>
  <c r="H90" i="1"/>
  <c r="H91" i="1"/>
  <c r="H89" i="1" s="1"/>
  <c r="H87" i="1" s="1"/>
  <c r="G90" i="1"/>
  <c r="E139" i="1"/>
  <c r="E140" i="1"/>
  <c r="E141" i="1"/>
  <c r="E142" i="1"/>
  <c r="E143" i="1"/>
  <c r="E144" i="1"/>
  <c r="E145" i="1"/>
  <c r="E146" i="1"/>
  <c r="E147" i="1"/>
  <c r="P145" i="1"/>
  <c r="P137" i="1" s="1"/>
  <c r="O145" i="1"/>
  <c r="O137" i="1" s="1"/>
  <c r="N145" i="1"/>
  <c r="J145" i="1" s="1"/>
  <c r="Q145" i="1" s="1"/>
  <c r="F137" i="1"/>
  <c r="G137" i="1"/>
  <c r="H137" i="1"/>
  <c r="I137" i="1"/>
  <c r="K137" i="1"/>
  <c r="L137" i="1"/>
  <c r="M137" i="1"/>
  <c r="H88" i="1" l="1"/>
  <c r="H86" i="1" s="1"/>
  <c r="H84" i="1" s="1"/>
  <c r="G83" i="1"/>
  <c r="N137" i="1"/>
  <c r="E137" i="1"/>
  <c r="F148" i="1"/>
  <c r="H85" i="1" l="1"/>
  <c r="H83" i="1" s="1"/>
  <c r="K74" i="1"/>
  <c r="O172" i="1" l="1"/>
  <c r="N172" i="1"/>
  <c r="L79" i="1" l="1"/>
  <c r="M79" i="1"/>
  <c r="K79" i="1"/>
  <c r="L160" i="1"/>
  <c r="I160" i="1" l="1"/>
  <c r="H160" i="1"/>
  <c r="G160" i="1"/>
  <c r="F160" i="1"/>
  <c r="E160" i="1"/>
  <c r="Q69" i="1" l="1"/>
  <c r="Q71" i="1"/>
  <c r="Q73" i="1"/>
  <c r="Q75" i="1"/>
  <c r="Q77" i="1"/>
  <c r="K65" i="1"/>
  <c r="L65" i="1" l="1"/>
  <c r="M65" i="1"/>
  <c r="J172" i="1" l="1"/>
  <c r="Q172" i="1" s="1"/>
  <c r="O171" i="1"/>
  <c r="N171" i="1"/>
  <c r="J171" i="1" s="1"/>
  <c r="Q171" i="1" s="1"/>
  <c r="O230" i="1"/>
  <c r="P230" i="1"/>
  <c r="N230" i="1"/>
  <c r="O232" i="1"/>
  <c r="P232" i="1"/>
  <c r="O233" i="1"/>
  <c r="P233" i="1"/>
  <c r="O234" i="1"/>
  <c r="P234" i="1"/>
  <c r="O235" i="1"/>
  <c r="P235" i="1"/>
  <c r="O236" i="1"/>
  <c r="P236" i="1"/>
  <c r="N236" i="1"/>
  <c r="N235" i="1"/>
  <c r="J235" i="1" s="1"/>
  <c r="N232" i="1"/>
  <c r="J232" i="1" s="1"/>
  <c r="N233" i="1"/>
  <c r="J233" i="1" s="1"/>
  <c r="N234" i="1"/>
  <c r="J234" i="1" s="1"/>
  <c r="O219" i="1"/>
  <c r="P219" i="1"/>
  <c r="N219" i="1"/>
  <c r="K186" i="1"/>
  <c r="L186" i="1"/>
  <c r="M186" i="1"/>
  <c r="O194" i="1"/>
  <c r="P194" i="1"/>
  <c r="N194" i="1"/>
  <c r="O192" i="1"/>
  <c r="P192" i="1"/>
  <c r="N192" i="1"/>
  <c r="J192" i="1" s="1"/>
  <c r="Q192" i="1" s="1"/>
  <c r="J191" i="1"/>
  <c r="Q191" i="1" s="1"/>
  <c r="J193" i="1"/>
  <c r="O190" i="1"/>
  <c r="P190" i="1"/>
  <c r="N190" i="1"/>
  <c r="O188" i="1"/>
  <c r="P188" i="1"/>
  <c r="N188" i="1"/>
  <c r="L179" i="1"/>
  <c r="M179" i="1"/>
  <c r="N179" i="1"/>
  <c r="O179" i="1"/>
  <c r="P179" i="1"/>
  <c r="J183" i="1"/>
  <c r="Q183" i="1" s="1"/>
  <c r="J184" i="1"/>
  <c r="Q184" i="1" s="1"/>
  <c r="J185" i="1"/>
  <c r="Q180" i="1"/>
  <c r="O174" i="1"/>
  <c r="P174" i="1"/>
  <c r="N174" i="1"/>
  <c r="J174" i="1" s="1"/>
  <c r="Q174" i="1" s="1"/>
  <c r="J170" i="1"/>
  <c r="Q170" i="1" s="1"/>
  <c r="O169" i="1"/>
  <c r="P169" i="1"/>
  <c r="N169" i="1"/>
  <c r="J169" i="1" s="1"/>
  <c r="Q169" i="1" s="1"/>
  <c r="O168" i="1"/>
  <c r="P168" i="1"/>
  <c r="N168" i="1"/>
  <c r="J168" i="1" s="1"/>
  <c r="Q168" i="1" s="1"/>
  <c r="J175" i="1"/>
  <c r="Q175" i="1" s="1"/>
  <c r="J176" i="1"/>
  <c r="Q176" i="1" s="1"/>
  <c r="J177" i="1"/>
  <c r="Q177" i="1" s="1"/>
  <c r="J178" i="1"/>
  <c r="O166" i="1"/>
  <c r="P166" i="1"/>
  <c r="O167" i="1"/>
  <c r="P167" i="1"/>
  <c r="N167" i="1"/>
  <c r="J167" i="1" s="1"/>
  <c r="Q167" i="1" s="1"/>
  <c r="N166" i="1"/>
  <c r="J166" i="1" s="1"/>
  <c r="Q166" i="1" s="1"/>
  <c r="O165" i="1"/>
  <c r="P165" i="1"/>
  <c r="N165" i="1"/>
  <c r="J165" i="1" s="1"/>
  <c r="Q165" i="1" s="1"/>
  <c r="O164" i="1"/>
  <c r="P164" i="1"/>
  <c r="N164" i="1"/>
  <c r="J164" i="1" s="1"/>
  <c r="Q164" i="1" s="1"/>
  <c r="M160" i="1"/>
  <c r="O163" i="1"/>
  <c r="P163" i="1"/>
  <c r="N163" i="1"/>
  <c r="J163" i="1" s="1"/>
  <c r="O162" i="1"/>
  <c r="P162" i="1"/>
  <c r="N162" i="1"/>
  <c r="O157" i="1"/>
  <c r="P157" i="1"/>
  <c r="N157" i="1"/>
  <c r="O156" i="1"/>
  <c r="P156" i="1"/>
  <c r="N156" i="1"/>
  <c r="O152" i="1"/>
  <c r="P152" i="1"/>
  <c r="N152" i="1"/>
  <c r="O130" i="1"/>
  <c r="P130" i="1"/>
  <c r="N130" i="1"/>
  <c r="O88" i="1"/>
  <c r="P88" i="1"/>
  <c r="N88" i="1"/>
  <c r="O81" i="1"/>
  <c r="P81" i="1"/>
  <c r="N81" i="1"/>
  <c r="O74" i="1"/>
  <c r="P74" i="1"/>
  <c r="N74" i="1"/>
  <c r="J74" i="1" s="1"/>
  <c r="P72" i="1"/>
  <c r="O72" i="1"/>
  <c r="N72" i="1"/>
  <c r="O70" i="1"/>
  <c r="P70" i="1"/>
  <c r="N70" i="1"/>
  <c r="P68" i="1"/>
  <c r="O68" i="1"/>
  <c r="N68" i="1"/>
  <c r="O67" i="1"/>
  <c r="P67" i="1"/>
  <c r="N67" i="1"/>
  <c r="J67" i="1" s="1"/>
  <c r="Q67" i="1" s="1"/>
  <c r="O60" i="1"/>
  <c r="P60" i="1"/>
  <c r="N60" i="1"/>
  <c r="O45" i="1"/>
  <c r="P45" i="1"/>
  <c r="N45" i="1"/>
  <c r="O44" i="1"/>
  <c r="P44" i="1"/>
  <c r="N44" i="1"/>
  <c r="O14" i="1"/>
  <c r="P21" i="1"/>
  <c r="J21" i="1"/>
  <c r="Q21" i="1" s="1"/>
  <c r="J20" i="1"/>
  <c r="Q20" i="1" s="1"/>
  <c r="J23" i="1"/>
  <c r="J15" i="1"/>
  <c r="Q15" i="1" s="1"/>
  <c r="K14" i="1"/>
  <c r="L14" i="1"/>
  <c r="M14" i="1"/>
  <c r="P14" i="1"/>
  <c r="O25" i="1"/>
  <c r="P25" i="1"/>
  <c r="N25" i="1"/>
  <c r="J25" i="1" s="1"/>
  <c r="Q25" i="1" s="1"/>
  <c r="N79" i="1" l="1"/>
  <c r="P79" i="1"/>
  <c r="O79" i="1"/>
  <c r="O186" i="1"/>
  <c r="O65" i="1"/>
  <c r="P160" i="1"/>
  <c r="N186" i="1"/>
  <c r="P186" i="1"/>
  <c r="P65" i="1"/>
  <c r="N65" i="1"/>
  <c r="N14" i="1"/>
  <c r="O160" i="1"/>
  <c r="N160" i="1"/>
  <c r="K158" i="1"/>
  <c r="R66" i="1" l="1"/>
  <c r="R67" i="1"/>
  <c r="R65" i="1" l="1"/>
  <c r="E92" i="1"/>
  <c r="F92" i="1"/>
  <c r="Q193" i="1"/>
  <c r="F224" i="1" l="1"/>
  <c r="E224" i="1" l="1"/>
  <c r="F221" i="1"/>
  <c r="F242" i="1"/>
  <c r="G242" i="1"/>
  <c r="H242" i="1"/>
  <c r="E242" i="1"/>
  <c r="E221" i="1" l="1"/>
  <c r="E217" i="1" s="1"/>
  <c r="J147" i="1"/>
  <c r="J146" i="1"/>
  <c r="Q146" i="1" s="1"/>
  <c r="J144" i="1"/>
  <c r="Q144" i="1" s="1"/>
  <c r="J143" i="1"/>
  <c r="Q143" i="1" s="1"/>
  <c r="J142" i="1"/>
  <c r="Q142" i="1" s="1"/>
  <c r="J141" i="1"/>
  <c r="Q141" i="1" s="1"/>
  <c r="J140" i="1"/>
  <c r="Q140" i="1" s="1"/>
  <c r="J139" i="1"/>
  <c r="P124" i="1"/>
  <c r="O124" i="1"/>
  <c r="I124" i="1"/>
  <c r="L124" i="1"/>
  <c r="M124" i="1"/>
  <c r="G124" i="1"/>
  <c r="H124" i="1"/>
  <c r="N135" i="1"/>
  <c r="N124" i="1" s="1"/>
  <c r="K135" i="1"/>
  <c r="K124" i="1" s="1"/>
  <c r="J127" i="1"/>
  <c r="Q127" i="1" s="1"/>
  <c r="Q147" i="1" l="1"/>
  <c r="J137" i="1"/>
  <c r="Q139" i="1"/>
  <c r="J135" i="1"/>
  <c r="Q135" i="1" s="1"/>
  <c r="Q137" i="1" l="1"/>
  <c r="Q23" i="1"/>
  <c r="Q34" i="1"/>
  <c r="Q38" i="1"/>
  <c r="Q39" i="1"/>
  <c r="Q48" i="1"/>
  <c r="Q50" i="1"/>
  <c r="Q53" i="1"/>
  <c r="Q63" i="1"/>
  <c r="Q85" i="1"/>
  <c r="Q109" i="1"/>
  <c r="Q110" i="1"/>
  <c r="Q111" i="1"/>
  <c r="Q112" i="1"/>
  <c r="Q113" i="1"/>
  <c r="Q114" i="1"/>
  <c r="Q117" i="1"/>
  <c r="Q128" i="1"/>
  <c r="Q133" i="1"/>
  <c r="Q134" i="1"/>
  <c r="E148" i="1"/>
  <c r="F232" i="1" l="1"/>
  <c r="Q233" i="1"/>
  <c r="Q234" i="1"/>
  <c r="Q235" i="1"/>
  <c r="I79" i="1"/>
  <c r="E82" i="1"/>
  <c r="J82" i="1"/>
  <c r="Q82" i="1" s="1"/>
  <c r="H82" i="1"/>
  <c r="H79" i="1" s="1"/>
  <c r="G82" i="1"/>
  <c r="G79" i="1" s="1"/>
  <c r="Q232" i="1" l="1"/>
  <c r="E232" i="1"/>
  <c r="F108" i="1"/>
  <c r="E108" i="1"/>
  <c r="F14" i="1" l="1"/>
  <c r="G14" i="1"/>
  <c r="H14" i="1"/>
  <c r="E14" i="1"/>
  <c r="F41" i="1" l="1"/>
  <c r="G221" i="1" l="1"/>
  <c r="H221" i="1"/>
  <c r="I221" i="1"/>
  <c r="K221" i="1"/>
  <c r="K217" i="1" s="1"/>
  <c r="L221" i="1"/>
  <c r="L217" i="1" s="1"/>
  <c r="M221" i="1"/>
  <c r="M217" i="1" s="1"/>
  <c r="N221" i="1"/>
  <c r="N217" i="1" s="1"/>
  <c r="O221" i="1"/>
  <c r="O217" i="1" s="1"/>
  <c r="P221" i="1"/>
  <c r="P217" i="1" s="1"/>
  <c r="G179" i="1" l="1"/>
  <c r="H179" i="1"/>
  <c r="I179" i="1"/>
  <c r="F182" i="1"/>
  <c r="F179" i="1" s="1"/>
  <c r="E182" i="1"/>
  <c r="E179" i="1" s="1"/>
  <c r="Q215" i="1"/>
  <c r="G211" i="1"/>
  <c r="H211" i="1"/>
  <c r="F216" i="1"/>
  <c r="E216" i="1"/>
  <c r="F214" i="1"/>
  <c r="E214" i="1"/>
  <c r="I195" i="1"/>
  <c r="K195" i="1"/>
  <c r="L195" i="1"/>
  <c r="M195" i="1"/>
  <c r="N195" i="1"/>
  <c r="O195" i="1"/>
  <c r="P195" i="1"/>
  <c r="Q202" i="1"/>
  <c r="Q204" i="1"/>
  <c r="Q207" i="1"/>
  <c r="E205" i="1"/>
  <c r="E195" i="1" s="1"/>
  <c r="F205" i="1"/>
  <c r="F195" i="1" s="1"/>
  <c r="G205" i="1"/>
  <c r="G195" i="1" s="1"/>
  <c r="H205" i="1"/>
  <c r="H195" i="1" s="1"/>
  <c r="G35" i="1"/>
  <c r="H35" i="1"/>
  <c r="F35" i="1"/>
  <c r="Q35" i="1" s="1"/>
  <c r="E35" i="1"/>
  <c r="E211" i="1" l="1"/>
  <c r="F211" i="1"/>
  <c r="J231" i="1"/>
  <c r="Q231" i="1" s="1"/>
  <c r="J236" i="1"/>
  <c r="Q236" i="1" s="1"/>
  <c r="J237" i="1"/>
  <c r="Q237" i="1" s="1"/>
  <c r="E69" i="1"/>
  <c r="E71" i="1"/>
  <c r="E73" i="1"/>
  <c r="E75" i="1"/>
  <c r="E76" i="1"/>
  <c r="E77" i="1"/>
  <c r="E78" i="1"/>
  <c r="E68" i="1"/>
  <c r="E131" i="1"/>
  <c r="E124" i="1" s="1"/>
  <c r="E120" i="1"/>
  <c r="E115" i="1"/>
  <c r="E79" i="1" s="1"/>
  <c r="E41" i="1"/>
  <c r="R41" i="1" s="1"/>
  <c r="E31" i="1"/>
  <c r="E27" i="1"/>
  <c r="F217" i="1" l="1"/>
  <c r="J223" i="1"/>
  <c r="J227" i="1"/>
  <c r="Q227" i="1" s="1"/>
  <c r="J229" i="1"/>
  <c r="Q229" i="1" s="1"/>
  <c r="J228" i="1"/>
  <c r="Q228" i="1" s="1"/>
  <c r="J230" i="1"/>
  <c r="Q230" i="1" s="1"/>
  <c r="Q223" i="1" l="1"/>
  <c r="G27" i="1"/>
  <c r="H27" i="1"/>
  <c r="F27" i="1"/>
  <c r="Q27" i="1" s="1"/>
  <c r="F31" i="1"/>
  <c r="Q31" i="1" s="1"/>
  <c r="H31" i="1"/>
  <c r="H41" i="1"/>
  <c r="G31" i="1"/>
  <c r="G41" i="1"/>
  <c r="I9" i="1" l="1"/>
  <c r="J126" i="1" l="1"/>
  <c r="Q126" i="1" l="1"/>
  <c r="F115" i="1"/>
  <c r="F79" i="1" l="1"/>
  <c r="G65" i="1"/>
  <c r="H65" i="1"/>
  <c r="I65" i="1"/>
  <c r="E72" i="1"/>
  <c r="E70" i="1" l="1"/>
  <c r="E74" i="1"/>
  <c r="F65" i="1"/>
  <c r="E65" i="1" l="1"/>
  <c r="E238" i="1" s="1"/>
  <c r="Q46" i="1"/>
  <c r="F131" i="1" l="1"/>
  <c r="F124" i="1" s="1"/>
  <c r="K41" i="1" l="1"/>
  <c r="L41" i="1"/>
  <c r="M41" i="1"/>
  <c r="O41" i="1"/>
  <c r="P41" i="1"/>
  <c r="J52" i="1" l="1"/>
  <c r="Q52" i="1" s="1"/>
  <c r="J45" i="1"/>
  <c r="Q45" i="1" s="1"/>
  <c r="J44" i="1"/>
  <c r="Q44" i="1" s="1"/>
  <c r="J222" i="1"/>
  <c r="J224" i="1"/>
  <c r="J225" i="1"/>
  <c r="Q225" i="1" s="1"/>
  <c r="J226" i="1"/>
  <c r="Q226" i="1" s="1"/>
  <c r="J78" i="1"/>
  <c r="Q78" i="1" s="1"/>
  <c r="J118" i="1"/>
  <c r="Q210" i="1"/>
  <c r="J33" i="1"/>
  <c r="Q33" i="1" s="1"/>
  <c r="J84" i="1"/>
  <c r="Q84" i="1" s="1"/>
  <c r="Q178" i="1"/>
  <c r="J198" i="1"/>
  <c r="Q198" i="1" s="1"/>
  <c r="J197" i="1"/>
  <c r="J194" i="1"/>
  <c r="Q194" i="1" s="1"/>
  <c r="J190" i="1"/>
  <c r="J130" i="1"/>
  <c r="Q130" i="1" s="1"/>
  <c r="J119" i="1"/>
  <c r="J72" i="1"/>
  <c r="Q72" i="1" s="1"/>
  <c r="K12" i="1"/>
  <c r="I217" i="1"/>
  <c r="I120" i="1"/>
  <c r="L120" i="1"/>
  <c r="M120" i="1"/>
  <c r="N120" i="1"/>
  <c r="O120" i="1"/>
  <c r="P120" i="1"/>
  <c r="K120" i="1"/>
  <c r="G120" i="1"/>
  <c r="H120" i="1"/>
  <c r="F120" i="1"/>
  <c r="G217" i="1"/>
  <c r="H217" i="1"/>
  <c r="K182" i="1"/>
  <c r="L211" i="1"/>
  <c r="M211" i="1"/>
  <c r="K216" i="1"/>
  <c r="J216" i="1" s="1"/>
  <c r="K214" i="1"/>
  <c r="J214" i="1" s="1"/>
  <c r="Q214" i="1" s="1"/>
  <c r="I211" i="1"/>
  <c r="N61" i="1"/>
  <c r="N41" i="1" s="1"/>
  <c r="J62" i="1"/>
  <c r="Q62" i="1" s="1"/>
  <c r="J68" i="1"/>
  <c r="L148" i="1"/>
  <c r="M148" i="1"/>
  <c r="O148" i="1"/>
  <c r="G148" i="1"/>
  <c r="H148" i="1"/>
  <c r="J80" i="1"/>
  <c r="Q80" i="1" s="1"/>
  <c r="J83" i="1"/>
  <c r="Q83" i="1" s="1"/>
  <c r="J86" i="1"/>
  <c r="Q86" i="1" s="1"/>
  <c r="J87" i="1"/>
  <c r="Q87" i="1" s="1"/>
  <c r="J88" i="1"/>
  <c r="Q88" i="1" s="1"/>
  <c r="J89" i="1"/>
  <c r="Q89" i="1" s="1"/>
  <c r="J90" i="1"/>
  <c r="Q90" i="1" s="1"/>
  <c r="J91" i="1"/>
  <c r="Q91" i="1" s="1"/>
  <c r="J92" i="1"/>
  <c r="Q92" i="1" s="1"/>
  <c r="J93" i="1"/>
  <c r="Q93" i="1" s="1"/>
  <c r="J94" i="1"/>
  <c r="Q94" i="1" s="1"/>
  <c r="J95" i="1"/>
  <c r="Q95" i="1" s="1"/>
  <c r="J96" i="1"/>
  <c r="Q96" i="1" s="1"/>
  <c r="J97" i="1"/>
  <c r="Q97" i="1" s="1"/>
  <c r="J98" i="1"/>
  <c r="Q98" i="1" s="1"/>
  <c r="J99" i="1"/>
  <c r="Q99" i="1" s="1"/>
  <c r="J100" i="1"/>
  <c r="Q100" i="1" s="1"/>
  <c r="J101" i="1"/>
  <c r="Q101" i="1" s="1"/>
  <c r="J102" i="1"/>
  <c r="Q102" i="1" s="1"/>
  <c r="J103" i="1"/>
  <c r="Q103" i="1" s="1"/>
  <c r="J104" i="1"/>
  <c r="Q104" i="1" s="1"/>
  <c r="J105" i="1"/>
  <c r="Q105" i="1" s="1"/>
  <c r="J106" i="1"/>
  <c r="Q106" i="1" s="1"/>
  <c r="J107" i="1"/>
  <c r="Q107" i="1" s="1"/>
  <c r="J108" i="1"/>
  <c r="Q108" i="1" s="1"/>
  <c r="J115" i="1"/>
  <c r="Q115" i="1" s="1"/>
  <c r="J116" i="1"/>
  <c r="Q116" i="1" s="1"/>
  <c r="J122" i="1"/>
  <c r="Q122" i="1" s="1"/>
  <c r="J123" i="1"/>
  <c r="Q123" i="1" s="1"/>
  <c r="J131" i="1"/>
  <c r="Q131" i="1" s="1"/>
  <c r="J136" i="1"/>
  <c r="Q136" i="1" s="1"/>
  <c r="J212" i="1"/>
  <c r="J213" i="1"/>
  <c r="Q213" i="1" s="1"/>
  <c r="J181" i="1"/>
  <c r="Q185" i="1"/>
  <c r="J196" i="1"/>
  <c r="J199" i="1"/>
  <c r="Q199" i="1" s="1"/>
  <c r="J200" i="1"/>
  <c r="Q200" i="1" s="1"/>
  <c r="J208" i="1"/>
  <c r="Q208" i="1" s="1"/>
  <c r="J201" i="1"/>
  <c r="Q201" i="1" s="1"/>
  <c r="J209" i="1"/>
  <c r="Q209" i="1" s="1"/>
  <c r="J203" i="1"/>
  <c r="Q203" i="1" s="1"/>
  <c r="J205" i="1"/>
  <c r="Q205" i="1" s="1"/>
  <c r="J218" i="1"/>
  <c r="J219" i="1"/>
  <c r="J70" i="1"/>
  <c r="Q70" i="1" s="1"/>
  <c r="Q74" i="1"/>
  <c r="J76" i="1"/>
  <c r="Q76" i="1" s="1"/>
  <c r="J26" i="1"/>
  <c r="Q26" i="1" s="1"/>
  <c r="J16" i="1"/>
  <c r="J17" i="1"/>
  <c r="Q17" i="1" s="1"/>
  <c r="J13" i="1"/>
  <c r="Q13" i="1" s="1"/>
  <c r="J18" i="1"/>
  <c r="Q18" i="1" s="1"/>
  <c r="J40" i="1"/>
  <c r="Q40" i="1" s="1"/>
  <c r="J37" i="1"/>
  <c r="Q37" i="1" s="1"/>
  <c r="J19" i="1"/>
  <c r="Q19" i="1" s="1"/>
  <c r="J29" i="1"/>
  <c r="Q29" i="1" s="1"/>
  <c r="J30" i="1"/>
  <c r="Q30" i="1" s="1"/>
  <c r="J24" i="1"/>
  <c r="Q24" i="1" s="1"/>
  <c r="J43" i="1"/>
  <c r="Q43" i="1" s="1"/>
  <c r="J47" i="1"/>
  <c r="Q47" i="1" s="1"/>
  <c r="J49" i="1"/>
  <c r="Q49" i="1" s="1"/>
  <c r="J51" i="1"/>
  <c r="Q51" i="1" s="1"/>
  <c r="J54" i="1"/>
  <c r="Q54" i="1" s="1"/>
  <c r="J55" i="1"/>
  <c r="Q55" i="1" s="1"/>
  <c r="J56" i="1"/>
  <c r="Q56" i="1" s="1"/>
  <c r="J57" i="1"/>
  <c r="Q57" i="1" s="1"/>
  <c r="J59" i="1"/>
  <c r="Q59" i="1" s="1"/>
  <c r="J58" i="1"/>
  <c r="Q58" i="1" s="1"/>
  <c r="J60" i="1"/>
  <c r="Q60" i="1" s="1"/>
  <c r="J64" i="1"/>
  <c r="Q64" i="1" s="1"/>
  <c r="Q151" i="1"/>
  <c r="J159" i="1"/>
  <c r="Q159" i="1" s="1"/>
  <c r="K152" i="1"/>
  <c r="K153" i="1"/>
  <c r="K154" i="1"/>
  <c r="K155" i="1"/>
  <c r="J155" i="1" s="1"/>
  <c r="Q155" i="1" s="1"/>
  <c r="K156" i="1"/>
  <c r="J156" i="1" s="1"/>
  <c r="Q156" i="1" s="1"/>
  <c r="K157" i="1"/>
  <c r="J157" i="1" s="1"/>
  <c r="Q157" i="1" s="1"/>
  <c r="J158" i="1"/>
  <c r="Q158" i="1" s="1"/>
  <c r="K150" i="1"/>
  <c r="K162" i="1"/>
  <c r="K160" i="1" s="1"/>
  <c r="J189" i="1"/>
  <c r="Q189" i="1" s="1"/>
  <c r="J188" i="1"/>
  <c r="J129" i="1"/>
  <c r="J11" i="1"/>
  <c r="J81" i="1"/>
  <c r="N211" i="1"/>
  <c r="O211" i="1"/>
  <c r="P211" i="1"/>
  <c r="P148" i="1"/>
  <c r="J150" i="1" l="1"/>
  <c r="Q150" i="1" s="1"/>
  <c r="K148" i="1"/>
  <c r="K245" i="1"/>
  <c r="Q119" i="1"/>
  <c r="J79" i="1"/>
  <c r="Q118" i="1"/>
  <c r="J124" i="1"/>
  <c r="Q68" i="1"/>
  <c r="Q65" i="1" s="1"/>
  <c r="J65" i="1"/>
  <c r="Q11" i="1"/>
  <c r="Q219" i="1"/>
  <c r="J162" i="1"/>
  <c r="Q188" i="1"/>
  <c r="J186" i="1"/>
  <c r="Q186" i="1" s="1"/>
  <c r="Q163" i="1"/>
  <c r="J182" i="1"/>
  <c r="Q182" i="1" s="1"/>
  <c r="K179" i="1"/>
  <c r="Q16" i="1"/>
  <c r="J14" i="1"/>
  <c r="G238" i="1"/>
  <c r="M238" i="1"/>
  <c r="O238" i="1"/>
  <c r="P238" i="1"/>
  <c r="H238" i="1"/>
  <c r="L238" i="1"/>
  <c r="Q129" i="1"/>
  <c r="Q124" i="1" s="1"/>
  <c r="Q81" i="1"/>
  <c r="Q224" i="1"/>
  <c r="J221" i="1"/>
  <c r="Q181" i="1"/>
  <c r="Q197" i="1"/>
  <c r="J195" i="1"/>
  <c r="Q195" i="1" s="1"/>
  <c r="K211" i="1"/>
  <c r="J12" i="1"/>
  <c r="Q12" i="1" s="1"/>
  <c r="J120" i="1"/>
  <c r="Q120" i="1" s="1"/>
  <c r="F238" i="1"/>
  <c r="J61" i="1"/>
  <c r="J153" i="1"/>
  <c r="J152" i="1"/>
  <c r="Q152" i="1" s="1"/>
  <c r="Q190" i="1"/>
  <c r="J154" i="1"/>
  <c r="N148" i="1"/>
  <c r="N238" i="1" s="1"/>
  <c r="Q216" i="1"/>
  <c r="J211" i="1"/>
  <c r="Q211" i="1" s="1"/>
  <c r="J217" i="1" l="1"/>
  <c r="Q217" i="1" s="1"/>
  <c r="Q221" i="1"/>
  <c r="Q79" i="1"/>
  <c r="J160" i="1"/>
  <c r="Q160" i="1" s="1"/>
  <c r="Q9" i="1"/>
  <c r="Q162" i="1"/>
  <c r="J179" i="1"/>
  <c r="Q179" i="1" s="1"/>
  <c r="Q14" i="1"/>
  <c r="K238" i="1"/>
  <c r="I153" i="1"/>
  <c r="I148" i="1" s="1"/>
  <c r="Q153" i="1"/>
  <c r="Q154" i="1"/>
  <c r="J41" i="1"/>
  <c r="Q41" i="1" s="1"/>
  <c r="Q61" i="1"/>
  <c r="J148" i="1"/>
  <c r="Q148" i="1" s="1"/>
  <c r="I61" i="1"/>
  <c r="I41" i="1" s="1"/>
  <c r="J238" i="1" l="1"/>
  <c r="K243" i="1" s="1"/>
  <c r="I238" i="1"/>
  <c r="Q238" i="1"/>
  <c r="J241" i="1" l="1"/>
  <c r="J242" i="1" s="1"/>
  <c r="M243" i="1"/>
</calcChain>
</file>

<file path=xl/sharedStrings.xml><?xml version="1.0" encoding="utf-8"?>
<sst xmlns="http://schemas.openxmlformats.org/spreadsheetml/2006/main" count="665" uniqueCount="465">
  <si>
    <t>(грн.)</t>
  </si>
  <si>
    <t>Код програмної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</si>
  <si>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</si>
  <si>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</si>
  <si>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</si>
  <si>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</si>
  <si>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</si>
  <si>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</si>
  <si>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</si>
  <si>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</si>
  <si>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</si>
  <si>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Івано-Франківської міської ради</t>
  </si>
  <si>
    <t>Утримання центрів з інвалідного спорту і реабілітаційних шкіл</t>
  </si>
  <si>
    <t>Проведення навчально-тренувальних зборiв i змагань та заходiв з iнвалiдного спорту</t>
  </si>
  <si>
    <t>Департамент соціальної політики виконавчого комітету міської ради</t>
  </si>
  <si>
    <t>Керівництво і управління у сфері соціального захисту населення</t>
  </si>
  <si>
    <t>Надання субсидій населенню для відшкодування витрат на оплату житлово-комунальних послуг</t>
  </si>
  <si>
    <t>Надання пільг окремим категоріям громадян з послуг зв`язку</t>
  </si>
  <si>
    <t>Компенсацiйнi виплати за пiльговий проїзд окремих категорiй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</si>
  <si>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</si>
  <si>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</si>
  <si>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</si>
  <si>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</si>
  <si>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</si>
  <si>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</si>
  <si>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</si>
  <si>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</si>
  <si>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Надання допомоги на догляд за інвалідом I чи II групи внаслідок психічного розладу</t>
  </si>
  <si>
    <t>Видатки на поховання учасників бойових дій та інвалідів війни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</si>
  <si>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</si>
  <si>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виконавчого комітету міської ради</t>
  </si>
  <si>
    <t>Охорона та раціональне використання природних ресурсів</t>
  </si>
  <si>
    <t>Управління капітального будівництва виконавчого комітету міської ради</t>
  </si>
  <si>
    <t>Керівництво і управління у сфері капітального будівництва</t>
  </si>
  <si>
    <t>Управління економічного та інтеграційного розвитку</t>
  </si>
  <si>
    <t>Сприяння розвитку малого та середнього підприємництва</t>
  </si>
  <si>
    <t>Фінансове управління виконавчого комітету міської ради</t>
  </si>
  <si>
    <t>Резервний фонд</t>
  </si>
  <si>
    <t>Секретар міської ради</t>
  </si>
  <si>
    <t>Організаційне, інформаційно-аналітичне та матерально-технічне забезпечення діяльності виконавчого комітету міської ради</t>
  </si>
  <si>
    <t>Керівництво і управління у сфері освіти і науки</t>
  </si>
  <si>
    <t>Надання загальної середньої освіти загальноосвітніми навчальними закладами (в т.ч. школою-дитячим садком, iнтернатом  при школi), спецiалiзованими  школами, лiцеями, гімназіями, колегіумами</t>
  </si>
  <si>
    <t>Надання загальної середньої освіти вечірніми (змінними) школами</t>
  </si>
  <si>
    <t>Надання загальної середньої освіти спеціальними загальноосвітніми школами-інтернатами, 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</si>
  <si>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</si>
  <si>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Реалізація заходів щодо інвестиційного розвитку території</t>
  </si>
  <si>
    <t>Багатопрофільна стаціонарна медична допомога населенню</t>
  </si>
  <si>
    <t>Амбулаторно-поліклінічна допомога населенню</t>
  </si>
  <si>
    <t>Керівництво і управління у справах дітей</t>
  </si>
  <si>
    <t xml:space="preserve">Керівництво і управління у сфері культури </t>
  </si>
  <si>
    <t>Внески до статутного капіталу суб'єктів господарювання</t>
  </si>
  <si>
    <t xml:space="preserve">Керівництво і управління у сфері містобудування та архітектури </t>
  </si>
  <si>
    <t xml:space="preserve">Керівництво і управління у сфері  економічного та інтеграційного розвитку міста </t>
  </si>
  <si>
    <t>до рішення сесії____міської ради</t>
  </si>
  <si>
    <t>№______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</si>
  <si>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</si>
  <si>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 xml:space="preserve">Лікарсько-акушерська допомога вагітним, породіллям та новонародженим  </t>
  </si>
  <si>
    <t>Додаток 3</t>
  </si>
  <si>
    <t>Департамент житлової, комунальної політики та благоустрою</t>
  </si>
  <si>
    <t>Керівництво і управління у сфері житолової, комунальної політики та благоустрою</t>
  </si>
  <si>
    <t>Капітальний ремонт житлового фонду</t>
  </si>
  <si>
    <t>0180</t>
  </si>
  <si>
    <t>Керівництво і управління у сфері  транспорту та звязку</t>
  </si>
  <si>
    <t>Компенсаційні виплати на пільговий проїзд електротранспортом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</si>
  <si>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</si>
  <si>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Реверсна дотація</t>
  </si>
  <si>
    <t>0133</t>
  </si>
  <si>
    <t>0930</t>
  </si>
  <si>
    <r>
      <t>Код ТПКВКМБ /
ТКВКБМС</t>
    </r>
    <r>
      <rPr>
        <b/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</si>
  <si>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b/>
        <strike/>
        <vertAlign val="superscript"/>
        <sz val="8"/>
        <rFont val="Times New Roman"/>
        <family val="1"/>
        <charset val="204"/>
      </rPr>
      <t>3</t>
    </r>
  </si>
  <si>
    <t>у тому числі за рахунок освітньої субвенції з Державного бюджету України</t>
  </si>
  <si>
    <t>0511</t>
  </si>
  <si>
    <t>у тому числі за рахунок медичної субвенції з Державного бюджету України</t>
  </si>
  <si>
    <t>0731</t>
  </si>
  <si>
    <t>0733</t>
  </si>
  <si>
    <t>0721</t>
  </si>
  <si>
    <t>0722</t>
  </si>
  <si>
    <t>0763</t>
  </si>
  <si>
    <t>Департамент комунальних ресурсів міської ради</t>
  </si>
  <si>
    <t>0111</t>
  </si>
  <si>
    <t>Департамент молодіжної політики та спорту</t>
  </si>
  <si>
    <t>Департамент освіти і науки  міської ради</t>
  </si>
  <si>
    <t>Керівництво та управління у сфері молодіжної політики та спорту</t>
  </si>
  <si>
    <t>Керівництво і управління у сфері складання та виконання місцевого бюджету</t>
  </si>
  <si>
    <t>Муніципальна програма "Духовне життя " на 2016-2017 роки</t>
  </si>
  <si>
    <t>Керівництво і управління у сфері комунальної власності</t>
  </si>
  <si>
    <t>Департамент містобудування, архітектури та кульутрної спадщини  виконавчого комітету міської ради</t>
  </si>
  <si>
    <t>Департамент культури  міської ради</t>
  </si>
  <si>
    <t>1070</t>
  </si>
  <si>
    <t>0610</t>
  </si>
  <si>
    <t>0620</t>
  </si>
  <si>
    <t>0490</t>
  </si>
  <si>
    <t>0411</t>
  </si>
  <si>
    <t>Програма промоції міста Івно-Франківська на 2016-2020 роки</t>
  </si>
  <si>
    <t>Комплексна  програма  сприяння залученню інвестицій в економіку м. Івано-Франківська на  2016 – 2020 роки</t>
  </si>
  <si>
    <t xml:space="preserve">в тому числі </t>
  </si>
  <si>
    <t>- виконання рішень судів, стягнення судових витрат</t>
  </si>
  <si>
    <t>Програма розвитку дитячо-юнацького футболу на 2016-2020 рр</t>
  </si>
  <si>
    <t>0910</t>
  </si>
  <si>
    <t>0921</t>
  </si>
  <si>
    <t>0922</t>
  </si>
  <si>
    <t>0960</t>
  </si>
  <si>
    <t>0950</t>
  </si>
  <si>
    <t>0990</t>
  </si>
  <si>
    <t>1040</t>
  </si>
  <si>
    <t>0810</t>
  </si>
  <si>
    <t xml:space="preserve">Проведення навчально-тренувальних зборiв i змагань з олімпійських видів спорту </t>
  </si>
  <si>
    <t>5011</t>
  </si>
  <si>
    <t>- видатки на виконання судових рішень</t>
  </si>
  <si>
    <t>- примусове виконання рішень суду</t>
  </si>
  <si>
    <t>4060</t>
  </si>
  <si>
    <t>0824</t>
  </si>
  <si>
    <t>0828</t>
  </si>
  <si>
    <t>0829</t>
  </si>
  <si>
    <t>0830</t>
  </si>
  <si>
    <t>1030</t>
  </si>
  <si>
    <t>1060</t>
  </si>
  <si>
    <t>1010</t>
  </si>
  <si>
    <t>1020</t>
  </si>
  <si>
    <t>1090</t>
  </si>
  <si>
    <t>О. Савчук</t>
  </si>
  <si>
    <t>0821</t>
  </si>
  <si>
    <t xml:space="preserve"> видатки споживання</t>
  </si>
  <si>
    <t>видатки розвитку</t>
  </si>
  <si>
    <t>Внески до статутного капіталу суб’єктів господарювання</t>
  </si>
  <si>
    <t>6324</t>
  </si>
  <si>
    <t>Будівництво та придбання житла для окремих категорій населення</t>
  </si>
  <si>
    <t>Програма розвитку місцевого самоврядування та громадянського суспільства в м.Івано-Франківську на 2016-2020 роки</t>
  </si>
  <si>
    <t>Компенсаційні виплати на пільговий проїзд автомобільним транспортом окремим категоріям громодян</t>
  </si>
  <si>
    <t>Пільгове медичне обслуговування осіб, які постраждали внаслідок Чорнобильської катастрофи</t>
  </si>
  <si>
    <t xml:space="preserve">Програма легалізації найманої праці та забезпечення кваліфікованими кадрами підприємств м. Івано-Франківська на 2017-2020 р.р.  </t>
  </si>
  <si>
    <t>Програма "Партиципаторне бюджетування (бюджет участі) у м. Івано-Франківську</t>
  </si>
  <si>
    <t>3021</t>
  </si>
  <si>
    <t>Утримання та  навчально-тренувальна робота комунальних дитячо-юнацьких  спортивних шкіл</t>
  </si>
  <si>
    <t>Комплексна програма запобігання виникненню надзвичайних ситуації природного і техногенного характеру та підвищення рівня готовності аварійно-рятувальної служби м.Івано-Франківська   на 2016-2020 роки</t>
  </si>
  <si>
    <t>0320</t>
  </si>
  <si>
    <t>0316310</t>
  </si>
  <si>
    <t>в тому числі:</t>
  </si>
  <si>
    <t>Видатки на проведення святкувань</t>
  </si>
  <si>
    <t>Об'єднання муніципальних мистецьких колективів міста</t>
  </si>
  <si>
    <t xml:space="preserve">від__________________ </t>
  </si>
  <si>
    <t xml:space="preserve">Проведення навчально-тренувальних зборiв i змагань з неолімпійських видів спорту </t>
  </si>
  <si>
    <t>5012</t>
  </si>
  <si>
    <t>Розподіл видатків міського бюджету міста Івано- Франківська на 2018 рік</t>
  </si>
  <si>
    <t>0160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</si>
  <si>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</si>
  <si>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</si>
  <si>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5021</t>
  </si>
  <si>
    <t>5022</t>
  </si>
  <si>
    <t>5031</t>
  </si>
  <si>
    <t>5061</t>
  </si>
  <si>
    <t>Забезпечення діяльності місцевих центрів фізичного здоров'я населення «Спорт для всіх» та проведення 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</si>
  <si>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</si>
  <si>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</si>
  <si>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4010</t>
  </si>
  <si>
    <t>Фінансова підтримка театрів</t>
  </si>
  <si>
    <t>4030</t>
  </si>
  <si>
    <t>Забезпечення діяльності бiблiотек</t>
  </si>
  <si>
    <t>Забезпечення діяльності палаців і будинків культури, клубів, центрів дозвілля та інші клубних закладів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</si>
  <si>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</si>
  <si>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</si>
  <si>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</si>
  <si>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заклади та заходи в галузі культури і мистецтва</t>
  </si>
  <si>
    <t>8410</t>
  </si>
  <si>
    <t>Фінансова підтримка засобів масової інформації</t>
  </si>
  <si>
    <t>7692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</si>
  <si>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</t>
  </si>
  <si>
    <t>8130</t>
  </si>
  <si>
    <t>Забезпечення діяльності місцевої пожежної охорони</t>
  </si>
  <si>
    <t>7670</t>
  </si>
  <si>
    <t>Надання дошкільної освіти</t>
  </si>
  <si>
    <t>1110</t>
  </si>
  <si>
    <t>Підготовка кадрів професійно-технічними закладами та іншими закладами освіти</t>
  </si>
  <si>
    <t>Підвищення кваліфікації, перепідготовка кадрів закладами післядипломної освіти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</si>
  <si>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</si>
  <si>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</si>
  <si>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</si>
  <si>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</si>
  <si>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</si>
  <si>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сім'ях, в сім'ях патронатного вихователя, надання допомоги дітям сиротам та дітям, позбавленим батьківського піклування, яким виповнюється 18 років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</si>
  <si>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</si>
  <si>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</si>
  <si>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</si>
  <si>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</si>
  <si>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Керівництво та управління у сфері охорони здоров'я</t>
  </si>
  <si>
    <t xml:space="preserve">Управління охорони здоров'я Івано-Франківської міської ради </t>
  </si>
  <si>
    <t>2030</t>
  </si>
  <si>
    <t>2080</t>
  </si>
  <si>
    <t>2100</t>
  </si>
  <si>
    <t>Стоматологічна допомога населенню</t>
  </si>
  <si>
    <t>2150</t>
  </si>
  <si>
    <t>Інші програми, заклади та заходи у сфері  охорона здоров'я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</si>
  <si>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</si>
  <si>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</si>
  <si>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</si>
  <si>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</si>
  <si>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8311</t>
  </si>
  <si>
    <t>7380</t>
  </si>
  <si>
    <t>Реалізація інших заходів щодо соціально-економічного розвитку територій</t>
  </si>
  <si>
    <t>7610</t>
  </si>
  <si>
    <t>8600</t>
  </si>
  <si>
    <t>Обслуговування  місцевого боргу</t>
  </si>
  <si>
    <t>0170</t>
  </si>
  <si>
    <t>8700</t>
  </si>
  <si>
    <t>9770</t>
  </si>
  <si>
    <t xml:space="preserve">Інші субвенції з місцевого бюджету </t>
  </si>
  <si>
    <t>9110</t>
  </si>
  <si>
    <t>Надання інших пільг окремим категоріям громадян відповідно до законодавства</t>
  </si>
  <si>
    <t>3032</t>
  </si>
  <si>
    <t>Надання допомоги до досягнення дитино. Трирічного віку</t>
  </si>
  <si>
    <t>3161</t>
  </si>
  <si>
    <t>Забезпечення соціальними послугами за місцем проживання  громадян , які не здатні до самообслуговування у звязку з похилим віком , хворобою , інвалідністю.</t>
  </si>
  <si>
    <t>3170</t>
  </si>
  <si>
    <t>3182</t>
  </si>
  <si>
    <t>Надання фінансової підтримки громадським організаціям інвалідів і ветерані, діяльність яких має соціальну спрямованість</t>
  </si>
  <si>
    <t>3121</t>
  </si>
  <si>
    <t>Утримання та забезпечення діяльнлсті центрів  соціальних служб для сім'ї, дітей та молоді</t>
  </si>
  <si>
    <t>0600000</t>
  </si>
  <si>
    <t>0700000</t>
  </si>
  <si>
    <t>0710000</t>
  </si>
  <si>
    <t>0710160</t>
  </si>
  <si>
    <t>0712010</t>
  </si>
  <si>
    <t>0712030</t>
  </si>
  <si>
    <t>0712080</t>
  </si>
  <si>
    <t>0712100</t>
  </si>
  <si>
    <t>0712150</t>
  </si>
  <si>
    <t>0717692</t>
  </si>
  <si>
    <t>0800000</t>
  </si>
  <si>
    <t>0900000</t>
  </si>
  <si>
    <t>1000000</t>
  </si>
  <si>
    <t>3700000</t>
  </si>
  <si>
    <t>3710000</t>
  </si>
  <si>
    <t>3710160</t>
  </si>
  <si>
    <t>3718600</t>
  </si>
  <si>
    <t>1200000</t>
  </si>
  <si>
    <t>1210000</t>
  </si>
  <si>
    <t>1210160</t>
  </si>
  <si>
    <t>1216013</t>
  </si>
  <si>
    <t>1216030</t>
  </si>
  <si>
    <t>1217670</t>
  </si>
  <si>
    <t>1217692</t>
  </si>
  <si>
    <t>0810160</t>
  </si>
  <si>
    <t>0813012</t>
  </si>
  <si>
    <t>0813031</t>
  </si>
  <si>
    <t>0813032</t>
  </si>
  <si>
    <t>0813041</t>
  </si>
  <si>
    <t>0813042</t>
  </si>
  <si>
    <t>0813043</t>
  </si>
  <si>
    <t>0813044</t>
  </si>
  <si>
    <t>0813045</t>
  </si>
  <si>
    <t>0813046</t>
  </si>
  <si>
    <t>0813047</t>
  </si>
  <si>
    <t>0813048</t>
  </si>
  <si>
    <t>0813049</t>
  </si>
  <si>
    <t>0813050</t>
  </si>
  <si>
    <t>0813080</t>
  </si>
  <si>
    <t>0813090</t>
  </si>
  <si>
    <t>0813161</t>
  </si>
  <si>
    <t>0813170</t>
  </si>
  <si>
    <t>0813182</t>
  </si>
  <si>
    <t>0813230</t>
  </si>
  <si>
    <t>3230</t>
  </si>
  <si>
    <t>Інші заклади та заходи</t>
  </si>
  <si>
    <t>0813104</t>
  </si>
  <si>
    <t>0813121</t>
  </si>
  <si>
    <t>Надання пільг   на оплату житлово-комунальних  послуг окремим категоріям громадян відповідно до законодавства</t>
  </si>
  <si>
    <t>0813011</t>
  </si>
  <si>
    <t>0813021</t>
  </si>
  <si>
    <t>Надання пільг  на придбання твердого  та рідкого пічного побутового палива і  скрапленого газу окремим категоріям громадян відповідно до законодавства.</t>
  </si>
  <si>
    <t>0813022</t>
  </si>
  <si>
    <t>3022</t>
  </si>
  <si>
    <t>3012</t>
  </si>
  <si>
    <t>0810000</t>
  </si>
  <si>
    <t>0817692</t>
  </si>
  <si>
    <t>0218130</t>
  </si>
  <si>
    <t>0217670</t>
  </si>
  <si>
    <t>0610000</t>
  </si>
  <si>
    <t>0610160</t>
  </si>
  <si>
    <t>0611010</t>
  </si>
  <si>
    <t>0611020</t>
  </si>
  <si>
    <t>0611030</t>
  </si>
  <si>
    <t>0611070</t>
  </si>
  <si>
    <t>0611090</t>
  </si>
  <si>
    <t>0611110</t>
  </si>
  <si>
    <t>0611140</t>
  </si>
  <si>
    <t>0611150</t>
  </si>
  <si>
    <t>0611160</t>
  </si>
  <si>
    <t>0613220</t>
  </si>
  <si>
    <t>0613132</t>
  </si>
  <si>
    <t>0613140</t>
  </si>
  <si>
    <t>0615031</t>
  </si>
  <si>
    <t>0617692</t>
  </si>
  <si>
    <t>0910000</t>
  </si>
  <si>
    <t>0910160</t>
  </si>
  <si>
    <t>0917692</t>
  </si>
  <si>
    <t>1010000</t>
  </si>
  <si>
    <t>1010160</t>
  </si>
  <si>
    <t>1014010</t>
  </si>
  <si>
    <t>1014030</t>
  </si>
  <si>
    <t>1014060</t>
  </si>
  <si>
    <t>1011100</t>
  </si>
  <si>
    <t>1014080</t>
  </si>
  <si>
    <t>1018410</t>
  </si>
  <si>
    <t>1017692</t>
  </si>
  <si>
    <t>1900000</t>
  </si>
  <si>
    <t>1910000</t>
  </si>
  <si>
    <t>1910160</t>
  </si>
  <si>
    <t>1916030</t>
  </si>
  <si>
    <t>1917670</t>
  </si>
  <si>
    <t>0813033</t>
  </si>
  <si>
    <t>3033</t>
  </si>
  <si>
    <t>0813035</t>
  </si>
  <si>
    <t>3035</t>
  </si>
  <si>
    <t>0813036</t>
  </si>
  <si>
    <t>3036</t>
  </si>
  <si>
    <t>0210180</t>
  </si>
  <si>
    <t>Інша діяльність у сфері державного управління</t>
  </si>
  <si>
    <t>0217680</t>
  </si>
  <si>
    <t>7680</t>
  </si>
  <si>
    <t>0218210</t>
  </si>
  <si>
    <t>8210</t>
  </si>
  <si>
    <t>0380</t>
  </si>
  <si>
    <t>видатки на утримання КП "Муніципальна варта"</t>
  </si>
  <si>
    <t>Муніципальні формування з охорони громадського порядку</t>
  </si>
  <si>
    <t>видатки на утримання Громадського формування з охорони громадського порядку "Штаб"</t>
  </si>
  <si>
    <t>0218220</t>
  </si>
  <si>
    <t>8220</t>
  </si>
  <si>
    <t>Цільова програма фінансування мобілізаційних заходів та оборонної роботи Івано-Франківської міської ради на 2018 рік</t>
  </si>
  <si>
    <t>0218110</t>
  </si>
  <si>
    <t>8110</t>
  </si>
  <si>
    <t>8230</t>
  </si>
  <si>
    <t>0218230</t>
  </si>
  <si>
    <t>- відшкодування комунальних послуг за призовну дільницю</t>
  </si>
  <si>
    <t xml:space="preserve">у тому числі: </t>
  </si>
  <si>
    <t>- видатки на проведення святкувань</t>
  </si>
  <si>
    <t>Заходи запобігання та ліквідації надзвичайних ситуацій та наслідків стихійного лиха</t>
  </si>
  <si>
    <t>Комплексна цільова соціальна програма розвитку цивільного захисту населення та території міста Івано-Франківська від надзвичайних ситуацій природного і техногенного характеру на 2016-2020 роки</t>
  </si>
  <si>
    <t>Членські внески до асоціацій органів місцевого самоврядування</t>
  </si>
  <si>
    <t>3718700</t>
  </si>
  <si>
    <t>3719110</t>
  </si>
  <si>
    <t>3719770</t>
  </si>
  <si>
    <t>3710180</t>
  </si>
  <si>
    <t>Іншi діяльність у сфері державного управління</t>
  </si>
  <si>
    <t>Інші заходи громадського порядку та безпеки</t>
  </si>
  <si>
    <t>Заходи та роботи з мобілізаційної підготовки місцевого значення</t>
  </si>
  <si>
    <t>- газета "Західний курєр"</t>
  </si>
  <si>
    <t>Порограма розвитку електронного урядування у виконавчому комітеті Івано-Франківської міської ради на 2018-2019 роки</t>
  </si>
  <si>
    <t>7622</t>
  </si>
  <si>
    <t>0470</t>
  </si>
  <si>
    <r>
      <rPr>
        <i/>
        <sz val="9"/>
        <rFont val="Times New Roman"/>
        <family val="1"/>
        <charset val="204"/>
      </rPr>
      <t xml:space="preserve">у тому числі   </t>
    </r>
    <r>
      <rPr>
        <sz val="9"/>
        <rFont val="Times New Roman"/>
        <family val="1"/>
        <charset val="204"/>
      </rPr>
      <t>Програма розвитку туристичної галузі м. Івано-Франківська на 2016-2020рр.</t>
    </r>
  </si>
  <si>
    <t>2717622</t>
  </si>
  <si>
    <t>2710000</t>
  </si>
  <si>
    <t>2710160</t>
  </si>
  <si>
    <t>2717380</t>
  </si>
  <si>
    <t xml:space="preserve">Реалізація програм і заходів у галузі туризму та курортів </t>
  </si>
  <si>
    <t>7694</t>
  </si>
  <si>
    <t>2717693</t>
  </si>
  <si>
    <t>Заходи з енергозбереження</t>
  </si>
  <si>
    <t>2717640</t>
  </si>
  <si>
    <t>7640</t>
  </si>
  <si>
    <t>Інші заходи, пов'язані з економічною діяльністю</t>
  </si>
  <si>
    <t>у тому числі:</t>
  </si>
  <si>
    <r>
      <rPr>
        <i/>
        <sz val="9"/>
        <rFont val="Times New Roman"/>
        <family val="1"/>
        <charset val="204"/>
      </rPr>
      <t xml:space="preserve">у тому числі   </t>
    </r>
    <r>
      <rPr>
        <sz val="9"/>
        <rFont val="Times New Roman"/>
        <family val="1"/>
        <charset val="204"/>
      </rPr>
      <t>Програма сталого енергетичного розвитку м. Івано-Франківська на період до 2020 р.</t>
    </r>
  </si>
  <si>
    <t>2717610</t>
  </si>
  <si>
    <t>2700000</t>
  </si>
  <si>
    <t>3100000</t>
  </si>
  <si>
    <t>3110000</t>
  </si>
  <si>
    <t>3110160</t>
  </si>
  <si>
    <t>3117130</t>
  </si>
  <si>
    <t>7130</t>
  </si>
  <si>
    <t>0421</t>
  </si>
  <si>
    <t>Здійснення заходів із землеустрою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</si>
  <si>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</si>
  <si>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</si>
  <si>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</si>
  <si>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3110180</t>
  </si>
  <si>
    <t>Іншi програми, заклади та заходи у сфері освіти</t>
  </si>
  <si>
    <t>7350</t>
  </si>
  <si>
    <t>0443</t>
  </si>
  <si>
    <t>Розроблення схем планування та забудови територій (містобудівної документації)</t>
  </si>
  <si>
    <t>1600000</t>
  </si>
  <si>
    <t>1610000</t>
  </si>
  <si>
    <t>1610160</t>
  </si>
  <si>
    <t>1617350</t>
  </si>
  <si>
    <t>с.Вовчинець</t>
  </si>
  <si>
    <t>с.Крихівці</t>
  </si>
  <si>
    <t>с.Микитинці</t>
  </si>
  <si>
    <t>с.Угорники</t>
  </si>
  <si>
    <t>с.Хриплин</t>
  </si>
  <si>
    <t>Організація та проведення громадських робіт</t>
  </si>
  <si>
    <t>0213200</t>
  </si>
  <si>
    <t>3200</t>
  </si>
  <si>
    <t>1050</t>
  </si>
  <si>
    <t xml:space="preserve"> за рахунок субвенції з обласного бюджету</t>
  </si>
  <si>
    <t>Містечко милосердя Святого Миколая""</t>
  </si>
  <si>
    <t>Центр соціально-психологічної реабілітації "Дивосвіт"</t>
  </si>
  <si>
    <t>Будинок нічного перебування</t>
  </si>
  <si>
    <t>у тому числі :</t>
  </si>
  <si>
    <t>інші видатки на соціальний захист</t>
  </si>
  <si>
    <t>в тому числі :Програми і заходи цнтру  служб для сім'ї, дітей та молоді</t>
  </si>
  <si>
    <t>1500000</t>
  </si>
  <si>
    <t>1510000</t>
  </si>
  <si>
    <t>1510160</t>
  </si>
  <si>
    <t>1518311</t>
  </si>
  <si>
    <t>1910180</t>
  </si>
  <si>
    <t>1210180</t>
  </si>
  <si>
    <t>0210160</t>
  </si>
  <si>
    <t>Комплексна програма профілактики злочинності в місті до 2020 року</t>
  </si>
  <si>
    <t>Управління транспорту та зв'язку</t>
  </si>
  <si>
    <t>1617340</t>
  </si>
  <si>
    <t>7340</t>
  </si>
  <si>
    <t>Проектування, реставрація та охолрона пам'яток архітектури</t>
  </si>
  <si>
    <t>0453</t>
  </si>
  <si>
    <t>1510180</t>
  </si>
  <si>
    <t>1917422</t>
  </si>
  <si>
    <t>7422</t>
  </si>
  <si>
    <t>Регулювання цін на послуги місцевого наземного електротранспорту</t>
  </si>
  <si>
    <t xml:space="preserve">інші видатки </t>
  </si>
  <si>
    <t>1216011</t>
  </si>
  <si>
    <t>6011</t>
  </si>
  <si>
    <t>Експлуатація та технічне обслуговування житлового фонду</t>
  </si>
  <si>
    <t>1217310</t>
  </si>
  <si>
    <t>7310</t>
  </si>
  <si>
    <t>Будівництво1 об'єктів житлово-комунального господарства</t>
  </si>
  <si>
    <t>1511010</t>
  </si>
  <si>
    <t>1511020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</si>
  <si>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</si>
  <si>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1512010</t>
  </si>
  <si>
    <t>2010</t>
  </si>
  <si>
    <t>1512030</t>
  </si>
  <si>
    <t>Лікарсько-акушерська допомога  вагітним, породіллям та новонародженим</t>
  </si>
  <si>
    <t>1512080</t>
  </si>
  <si>
    <t>Забезпечення діяльності палаців i будинків культури, клубів, центрів дозвілля та iнших клубних закладів</t>
  </si>
  <si>
    <t>1516030</t>
  </si>
  <si>
    <t>1517310</t>
  </si>
  <si>
    <t>1517321</t>
  </si>
  <si>
    <t>7321</t>
  </si>
  <si>
    <t>Будівництво1 освітніх установ та закладів</t>
  </si>
  <si>
    <t>1517324</t>
  </si>
  <si>
    <t>7324</t>
  </si>
  <si>
    <t>Будівництво1 установ та закладів культури</t>
  </si>
  <si>
    <t>1517325</t>
  </si>
  <si>
    <t>7325</t>
  </si>
  <si>
    <t>Будівництво1 споруд, установ та закладів фізичної культури і спорту</t>
  </si>
  <si>
    <t>1517330</t>
  </si>
  <si>
    <t>7330</t>
  </si>
  <si>
    <t>Будівництво1 інших об'єктів соціальної та виробничої інфраструктури комунальної власності</t>
  </si>
  <si>
    <t>1517340</t>
  </si>
  <si>
    <t>Проектування, реставрація та охорона пам'яток архітектури</t>
  </si>
  <si>
    <t>1617330</t>
  </si>
  <si>
    <t>1917310</t>
  </si>
  <si>
    <t>8340</t>
  </si>
  <si>
    <t>0540</t>
  </si>
  <si>
    <t>Природоохоронні заходи за рахунок цільових фондів</t>
  </si>
  <si>
    <t>Утримання та фінансова підтримка спортивних споруд</t>
  </si>
  <si>
    <t>5041</t>
  </si>
  <si>
    <t>8010</t>
  </si>
  <si>
    <t>1517320</t>
  </si>
  <si>
    <t>7320</t>
  </si>
  <si>
    <t>Будівництво1 об'єктів соціально-культурного призначення</t>
  </si>
  <si>
    <t>Програма розвитку міжнародного і транскордонного співробітництва м. Івано-Франківська на 2018-2020 роки</t>
  </si>
  <si>
    <t>0813220</t>
  </si>
  <si>
    <t>Забезпечення належних умов для виховання та розвитку дітей-сиріт і дітей, позбавлених батьківського піклування, у дитячих будинках сімейного типу , прийомних сім'ях) в сімях патронатного вихователя, надання допомоги дітям сиротам та дітям, позбавленим батьківського піклування, яким виповнюється 18 років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</si>
  <si>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</si>
  <si>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Програма будівництва (придбання) доступного житла у м. Івано-Франківську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</si>
</sst>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General_)"/>
    <numFmt numFmtId="166" formatCode="0.0"/>
    <numFmt numFmtId="167" formatCode="#,##0.0"/>
    <numFmt numFmtId="168" formatCode="0_ ;[Red]\-0\ "/>
  </numFmts>
  <fonts count="19" x14ac:knownFonts="1">
    <font>
      <sz val="8"/>
      <name val="Arial"/>
    </font>
    <font>
      <sz val="8"/>
      <name val="Arial"/>
      <family val="2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trike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2" fillId="0" borderId="0"/>
    <xf numFmtId="0" fontId="1" fillId="0" borderId="0"/>
    <xf numFmtId="0" fontId="9" fillId="0" borderId="0"/>
  </cellStyleXfs>
  <cellXfs count="155">
    <xf numFmtId="0" fontId="0" fillId="0" borderId="0" xfId="0"/>
    <xf numFmtId="3" fontId="10" fillId="2" borderId="1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/>
    </xf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 vertical="top"/>
    </xf>
    <xf numFmtId="164" fontId="7" fillId="2" borderId="33" xfId="0" applyNumberFormat="1" applyFont="1" applyFill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3" fontId="15" fillId="2" borderId="33" xfId="0" applyNumberFormat="1" applyFont="1" applyFill="1" applyBorder="1" applyAlignment="1">
      <alignment horizontal="right" vertical="center"/>
    </xf>
    <xf numFmtId="3" fontId="15" fillId="2" borderId="34" xfId="0" applyNumberFormat="1" applyFont="1" applyFill="1" applyBorder="1" applyAlignment="1">
      <alignment horizontal="right" vertical="center"/>
    </xf>
    <xf numFmtId="1" fontId="15" fillId="2" borderId="35" xfId="0" applyNumberFormat="1" applyFont="1" applyFill="1" applyBorder="1" applyAlignment="1">
      <alignment horizontal="right" vertical="center"/>
    </xf>
    <xf numFmtId="3" fontId="15" fillId="2" borderId="38" xfId="0" applyNumberFormat="1" applyFont="1" applyFill="1" applyBorder="1" applyAlignment="1">
      <alignment horizontal="right" vertical="center"/>
    </xf>
    <xf numFmtId="3" fontId="15" fillId="2" borderId="15" xfId="0" applyNumberFormat="1" applyFont="1" applyFill="1" applyBorder="1" applyAlignment="1">
      <alignment horizontal="right" vertical="center"/>
    </xf>
    <xf numFmtId="3" fontId="15" fillId="2" borderId="37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7" fillId="2" borderId="1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3" fontId="15" fillId="2" borderId="1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1" fontId="15" fillId="2" borderId="36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right" vertical="center"/>
    </xf>
    <xf numFmtId="3" fontId="15" fillId="2" borderId="2" xfId="0" applyNumberFormat="1" applyFont="1" applyFill="1" applyBorder="1" applyAlignment="1">
      <alignment horizontal="right" vertical="center"/>
    </xf>
    <xf numFmtId="3" fontId="15" fillId="2" borderId="16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1" fontId="10" fillId="2" borderId="36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49" fontId="10" fillId="2" borderId="36" xfId="0" applyNumberFormat="1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left" vertical="center" wrapText="1"/>
    </xf>
    <xf numFmtId="167" fontId="10" fillId="2" borderId="36" xfId="0" applyNumberFormat="1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7" fillId="2" borderId="36" xfId="0" applyNumberFormat="1" applyFont="1" applyFill="1" applyBorder="1" applyAlignment="1">
      <alignment horizontal="left" vertical="center" wrapText="1"/>
    </xf>
    <xf numFmtId="3" fontId="15" fillId="2" borderId="36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left" vertical="center"/>
    </xf>
    <xf numFmtId="165" fontId="10" fillId="2" borderId="0" xfId="0" applyNumberFormat="1" applyFont="1" applyFill="1" applyAlignment="1">
      <alignment horizontal="left"/>
    </xf>
    <xf numFmtId="168" fontId="10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left"/>
    </xf>
    <xf numFmtId="0" fontId="8" fillId="2" borderId="36" xfId="0" applyFont="1" applyFill="1" applyBorder="1" applyAlignment="1">
      <alignment vertical="center" wrapText="1"/>
    </xf>
    <xf numFmtId="165" fontId="12" fillId="2" borderId="36" xfId="1" applyFont="1" applyFill="1" applyBorder="1" applyAlignment="1" applyProtection="1">
      <alignment horizontal="left" vertical="center" wrapText="1"/>
    </xf>
    <xf numFmtId="0" fontId="8" fillId="2" borderId="36" xfId="0" applyFont="1" applyFill="1" applyBorder="1" applyAlignment="1">
      <alignment vertical="top" wrapText="1"/>
    </xf>
    <xf numFmtId="3" fontId="10" fillId="2" borderId="16" xfId="0" applyNumberFormat="1" applyFont="1" applyFill="1" applyBorder="1" applyAlignment="1">
      <alignment horizontal="right" vertical="center"/>
    </xf>
    <xf numFmtId="49" fontId="3" fillId="2" borderId="36" xfId="0" applyNumberFormat="1" applyFont="1" applyFill="1" applyBorder="1" applyAlignment="1">
      <alignment horizontal="left" vertical="center" wrapText="1"/>
    </xf>
    <xf numFmtId="167" fontId="15" fillId="2" borderId="11" xfId="0" applyNumberFormat="1" applyFont="1" applyFill="1" applyBorder="1" applyAlignment="1">
      <alignment horizontal="right" vertical="center"/>
    </xf>
    <xf numFmtId="167" fontId="15" fillId="2" borderId="1" xfId="0" applyNumberFormat="1" applyFont="1" applyFill="1" applyBorder="1" applyAlignment="1">
      <alignment horizontal="right" vertical="center"/>
    </xf>
    <xf numFmtId="167" fontId="15" fillId="2" borderId="36" xfId="0" applyNumberFormat="1" applyFont="1" applyFill="1" applyBorder="1" applyAlignment="1">
      <alignment horizontal="right" vertical="center"/>
    </xf>
    <xf numFmtId="167" fontId="15" fillId="2" borderId="13" xfId="0" applyNumberFormat="1" applyFont="1" applyFill="1" applyBorder="1" applyAlignment="1">
      <alignment horizontal="right" vertical="center"/>
    </xf>
    <xf numFmtId="167" fontId="15" fillId="2" borderId="16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Alignment="1">
      <alignment horizontal="left"/>
    </xf>
    <xf numFmtId="167" fontId="10" fillId="2" borderId="11" xfId="0" applyNumberFormat="1" applyFont="1" applyFill="1" applyBorder="1" applyAlignment="1">
      <alignment horizontal="right" vertical="center"/>
    </xf>
    <xf numFmtId="167" fontId="10" fillId="2" borderId="1" xfId="0" applyNumberFormat="1" applyFont="1" applyFill="1" applyBorder="1" applyAlignment="1">
      <alignment horizontal="right" vertical="center"/>
    </xf>
    <xf numFmtId="167" fontId="10" fillId="2" borderId="36" xfId="0" applyNumberFormat="1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8" fillId="2" borderId="36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right" vertical="center"/>
    </xf>
    <xf numFmtId="1" fontId="15" fillId="2" borderId="1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0" fontId="16" fillId="2" borderId="36" xfId="0" applyFont="1" applyFill="1" applyBorder="1" applyAlignment="1">
      <alignment horizontal="left" vertical="center" wrapText="1"/>
    </xf>
    <xf numFmtId="0" fontId="4" fillId="2" borderId="36" xfId="0" applyNumberFormat="1" applyFont="1" applyFill="1" applyBorder="1" applyAlignment="1">
      <alignment horizontal="left" vertical="center" wrapText="1"/>
    </xf>
    <xf numFmtId="1" fontId="7" fillId="2" borderId="11" xfId="0" applyNumberFormat="1" applyFont="1" applyFill="1" applyBorder="1" applyAlignment="1">
      <alignment horizontal="left" vertical="center"/>
    </xf>
    <xf numFmtId="1" fontId="10" fillId="2" borderId="11" xfId="0" applyNumberFormat="1" applyFont="1" applyFill="1" applyBorder="1" applyAlignment="1">
      <alignment horizontal="left" vertical="center"/>
    </xf>
    <xf numFmtId="0" fontId="12" fillId="2" borderId="36" xfId="2" applyNumberFormat="1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horizontal="right" vertical="center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49" fontId="12" fillId="2" borderId="11" xfId="0" applyNumberFormat="1" applyFont="1" applyFill="1" applyBorder="1" applyAlignment="1">
      <alignment horizontal="left" vertical="center" wrapText="1" shrinkToFit="1"/>
    </xf>
    <xf numFmtId="49" fontId="12" fillId="2" borderId="1" xfId="0" applyNumberFormat="1" applyFont="1" applyFill="1" applyBorder="1" applyAlignment="1">
      <alignment horizontal="left" vertical="center" wrapText="1" shrinkToFit="1"/>
    </xf>
    <xf numFmtId="0" fontId="12" fillId="2" borderId="36" xfId="0" applyFont="1" applyFill="1" applyBorder="1" applyAlignment="1">
      <alignment horizontal="left" vertical="center" wrapText="1" shrinkToFit="1"/>
    </xf>
    <xf numFmtId="0" fontId="12" fillId="2" borderId="11" xfId="0" applyFont="1" applyFill="1" applyBorder="1" applyAlignment="1">
      <alignment horizontal="left" vertical="center" wrapText="1"/>
    </xf>
    <xf numFmtId="49" fontId="12" fillId="2" borderId="36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166" fontId="10" fillId="2" borderId="36" xfId="3" applyNumberFormat="1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vertical="center" wrapText="1"/>
    </xf>
    <xf numFmtId="0" fontId="10" fillId="2" borderId="36" xfId="0" applyNumberFormat="1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vertical="center" wrapText="1"/>
    </xf>
    <xf numFmtId="49" fontId="10" fillId="2" borderId="28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left" vertical="center" wrapText="1"/>
    </xf>
    <xf numFmtId="3" fontId="10" fillId="2" borderId="28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right" vertical="center"/>
    </xf>
    <xf numFmtId="1" fontId="10" fillId="2" borderId="49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left" vertical="top"/>
    </xf>
    <xf numFmtId="3" fontId="7" fillId="2" borderId="50" xfId="0" applyNumberFormat="1" applyFont="1" applyFill="1" applyBorder="1" applyAlignment="1">
      <alignment horizontal="right" vertical="center"/>
    </xf>
    <xf numFmtId="3" fontId="7" fillId="2" borderId="51" xfId="0" applyNumberFormat="1" applyFont="1" applyFill="1" applyBorder="1" applyAlignment="1">
      <alignment horizontal="right" vertical="center"/>
    </xf>
    <xf numFmtId="3" fontId="7" fillId="2" borderId="52" xfId="0" applyNumberFormat="1" applyFont="1" applyFill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7" fillId="2" borderId="3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left"/>
    </xf>
    <xf numFmtId="1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left" vertical="top"/>
    </xf>
    <xf numFmtId="1" fontId="12" fillId="2" borderId="0" xfId="0" applyNumberFormat="1" applyFont="1" applyFill="1" applyAlignment="1">
      <alignment horizontal="left" vertical="top"/>
    </xf>
    <xf numFmtId="3" fontId="12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3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17" xfId="0" applyNumberFormat="1" applyFont="1" applyFill="1" applyBorder="1" applyAlignment="1" applyProtection="1">
      <alignment horizontal="center" vertical="center" wrapText="1"/>
    </xf>
    <xf numFmtId="0" fontId="7" fillId="2" borderId="39" xfId="0" applyNumberFormat="1" applyFont="1" applyFill="1" applyBorder="1" applyAlignment="1" applyProtection="1">
      <alignment horizontal="center" vertical="center" wrapText="1"/>
    </xf>
    <xf numFmtId="0" fontId="7" fillId="2" borderId="40" xfId="0" applyNumberFormat="1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right" vertical="center"/>
    </xf>
    <xf numFmtId="0" fontId="7" fillId="2" borderId="52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osvita" xfId="1"/>
    <cellStyle name="Обычный_TDSheet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45"/>
  <sheetViews>
    <sheetView tabSelected="1" zoomScale="80" zoomScaleNormal="80" zoomScaleSheetLayoutView="100" workbookViewId="0">
      <pane xSplit="4" ySplit="8" topLeftCell="E224" activePane="bottomRight" state="frozen"/>
      <selection pane="topRight" activeCell="E1" sqref="E1"/>
      <selection pane="bottomLeft" activeCell="A9" sqref="A9"/>
      <selection pane="bottomRight" activeCell="D22" sqref="D22"/>
    </sheetView>
  </sheetViews>
  <sheetFormatPr defaultColWidth="10.1640625" defaultRowHeight="11.45" customHeight="1" x14ac:dyDescent="0.2"/>
  <cols>
    <col min="1" max="1" width="14" style="5" customWidth="1"/>
    <col min="2" max="3" width="12.83203125" style="107" customWidth="1"/>
    <col min="4" max="4" width="39.83203125" style="5" customWidth="1"/>
    <col min="5" max="6" width="18.6640625" style="5" customWidth="1"/>
    <col min="7" max="7" width="17.5" style="5" customWidth="1"/>
    <col min="8" max="15" width="15.83203125" style="5" customWidth="1"/>
    <col min="16" max="16" width="17.1640625" style="5" customWidth="1"/>
    <col min="17" max="17" width="15.83203125" style="5" customWidth="1"/>
    <col min="18" max="18" width="16.1640625" style="110" customWidth="1"/>
    <col min="19" max="19" width="17.5" style="110" customWidth="1"/>
    <col min="20" max="20" width="19.1640625" style="110" customWidth="1"/>
    <col min="21" max="16384" width="10.1640625" style="110"/>
  </cols>
  <sheetData>
    <row r="1" spans="1:19" s="3" customFormat="1" ht="18.95" customHeight="1" x14ac:dyDescent="0.2">
      <c r="B1" s="123" t="s">
        <v>143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O1" s="124" t="s">
        <v>57</v>
      </c>
      <c r="P1" s="124"/>
      <c r="Q1" s="124"/>
    </row>
    <row r="2" spans="1:19" s="3" customFormat="1" ht="18.95" customHeight="1" x14ac:dyDescent="0.2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O2" s="125" t="s">
        <v>53</v>
      </c>
      <c r="P2" s="125"/>
      <c r="Q2" s="125"/>
    </row>
    <row r="3" spans="1:19" s="3" customFormat="1" ht="11.1" customHeight="1" x14ac:dyDescent="0.2">
      <c r="B3" s="4"/>
      <c r="C3" s="4"/>
      <c r="O3" s="5" t="s">
        <v>140</v>
      </c>
      <c r="Q3" s="5" t="s">
        <v>54</v>
      </c>
    </row>
    <row r="4" spans="1:19" s="3" customFormat="1" ht="11.1" customHeight="1" thickBot="1" x14ac:dyDescent="0.25">
      <c r="B4" s="4"/>
      <c r="C4" s="4"/>
      <c r="Q4" s="5" t="s">
        <v>0</v>
      </c>
    </row>
    <row r="5" spans="1:19" s="3" customFormat="1" ht="11.1" customHeight="1" thickBot="1" x14ac:dyDescent="0.25">
      <c r="A5" s="131" t="s">
        <v>1</v>
      </c>
      <c r="B5" s="134" t="s">
        <v>68</v>
      </c>
      <c r="C5" s="141" t="s">
        <v>69</v>
      </c>
      <c r="D5" s="136" t="s">
        <v>64</v>
      </c>
      <c r="E5" s="144" t="s">
        <v>2</v>
      </c>
      <c r="F5" s="145"/>
      <c r="G5" s="145"/>
      <c r="H5" s="145"/>
      <c r="I5" s="146"/>
      <c r="J5" s="115" t="s">
        <v>3</v>
      </c>
      <c r="K5" s="116"/>
      <c r="L5" s="116"/>
      <c r="M5" s="116"/>
      <c r="N5" s="116"/>
      <c r="O5" s="116"/>
      <c r="P5" s="117"/>
      <c r="Q5" s="118" t="s">
        <v>4</v>
      </c>
    </row>
    <row r="6" spans="1:19" s="3" customFormat="1" ht="11.1" customHeight="1" thickBot="1" x14ac:dyDescent="0.25">
      <c r="A6" s="132"/>
      <c r="B6" s="135"/>
      <c r="C6" s="142"/>
      <c r="D6" s="137"/>
      <c r="E6" s="153" t="s">
        <v>5</v>
      </c>
      <c r="F6" s="121" t="s">
        <v>122</v>
      </c>
      <c r="G6" s="127" t="s">
        <v>6</v>
      </c>
      <c r="H6" s="128"/>
      <c r="I6" s="138" t="s">
        <v>123</v>
      </c>
      <c r="J6" s="129" t="s">
        <v>5</v>
      </c>
      <c r="K6" s="121" t="s">
        <v>122</v>
      </c>
      <c r="L6" s="126" t="s">
        <v>6</v>
      </c>
      <c r="M6" s="126"/>
      <c r="N6" s="121" t="s">
        <v>123</v>
      </c>
      <c r="O6" s="127" t="s">
        <v>6</v>
      </c>
      <c r="P6" s="128"/>
      <c r="Q6" s="119"/>
    </row>
    <row r="7" spans="1:19" s="3" customFormat="1" ht="11.1" customHeight="1" thickBot="1" x14ac:dyDescent="0.25">
      <c r="A7" s="132"/>
      <c r="B7" s="135"/>
      <c r="C7" s="142"/>
      <c r="D7" s="137"/>
      <c r="E7" s="153"/>
      <c r="F7" s="121"/>
      <c r="G7" s="121" t="s">
        <v>7</v>
      </c>
      <c r="H7" s="151" t="s">
        <v>8</v>
      </c>
      <c r="I7" s="139"/>
      <c r="J7" s="129"/>
      <c r="K7" s="121"/>
      <c r="L7" s="121" t="s">
        <v>7</v>
      </c>
      <c r="M7" s="121" t="s">
        <v>8</v>
      </c>
      <c r="N7" s="121"/>
      <c r="O7" s="121" t="s">
        <v>9</v>
      </c>
      <c r="P7" s="113" t="s">
        <v>6</v>
      </c>
      <c r="Q7" s="119"/>
    </row>
    <row r="8" spans="1:19" s="3" customFormat="1" ht="96" customHeight="1" thickBot="1" x14ac:dyDescent="0.25">
      <c r="A8" s="133"/>
      <c r="B8" s="135"/>
      <c r="C8" s="143"/>
      <c r="D8" s="137"/>
      <c r="E8" s="154"/>
      <c r="F8" s="122"/>
      <c r="G8" s="122"/>
      <c r="H8" s="152"/>
      <c r="I8" s="140"/>
      <c r="J8" s="130"/>
      <c r="K8" s="122"/>
      <c r="L8" s="122"/>
      <c r="M8" s="122"/>
      <c r="N8" s="122"/>
      <c r="O8" s="122"/>
      <c r="P8" s="114" t="s">
        <v>10</v>
      </c>
      <c r="Q8" s="120"/>
    </row>
    <row r="9" spans="1:19" s="16" customFormat="1" ht="21.95" customHeight="1" x14ac:dyDescent="0.2">
      <c r="A9" s="6">
        <v>200000</v>
      </c>
      <c r="B9" s="7"/>
      <c r="C9" s="7"/>
      <c r="D9" s="8" t="s">
        <v>11</v>
      </c>
      <c r="E9" s="9">
        <f>E11+E12+E13+E14+E24+E26+E27+E31+E35+E38</f>
        <v>59842000</v>
      </c>
      <c r="F9" s="10">
        <f>F11+F12+F13+F14+F24+F26+F27+F31+F35+F38</f>
        <v>59842000</v>
      </c>
      <c r="G9" s="10">
        <f>G11+G12+G13+G14+G24+G26+G27+G31+G35+G38</f>
        <v>33347000</v>
      </c>
      <c r="H9" s="10">
        <f>H11+H12+H13+H14+H24+H26+H27+H31+H35+H38</f>
        <v>1274000</v>
      </c>
      <c r="I9" s="11">
        <f>I11+I12+I14</f>
        <v>0</v>
      </c>
      <c r="J9" s="12">
        <f t="shared" ref="J9:P9" si="0">J11+J12+J13+J14+J24+J26+J27+J31+J35+J38+J25</f>
        <v>35243000</v>
      </c>
      <c r="K9" s="10">
        <f t="shared" si="0"/>
        <v>35000</v>
      </c>
      <c r="L9" s="10">
        <f t="shared" si="0"/>
        <v>0</v>
      </c>
      <c r="M9" s="10">
        <f t="shared" si="0"/>
        <v>0</v>
      </c>
      <c r="N9" s="10">
        <f t="shared" si="0"/>
        <v>35208000</v>
      </c>
      <c r="O9" s="10">
        <f t="shared" si="0"/>
        <v>35208000</v>
      </c>
      <c r="P9" s="13">
        <f t="shared" si="0"/>
        <v>20208000</v>
      </c>
      <c r="Q9" s="14">
        <f>F9+J9</f>
        <v>95085000</v>
      </c>
      <c r="R9" s="15"/>
      <c r="S9" s="15"/>
    </row>
    <row r="10" spans="1:19" s="16" customFormat="1" ht="21.95" customHeight="1" x14ac:dyDescent="0.2">
      <c r="A10" s="17">
        <v>210000</v>
      </c>
      <c r="B10" s="18"/>
      <c r="C10" s="18"/>
      <c r="D10" s="19" t="s">
        <v>11</v>
      </c>
      <c r="E10" s="20"/>
      <c r="F10" s="21"/>
      <c r="G10" s="21"/>
      <c r="H10" s="21"/>
      <c r="I10" s="22"/>
      <c r="J10" s="23"/>
      <c r="K10" s="21"/>
      <c r="L10" s="21"/>
      <c r="M10" s="21"/>
      <c r="N10" s="21"/>
      <c r="O10" s="21"/>
      <c r="P10" s="24"/>
      <c r="Q10" s="25"/>
    </row>
    <row r="11" spans="1:19" s="31" customFormat="1" ht="33.75" x14ac:dyDescent="0.2">
      <c r="A11" s="32" t="s">
        <v>406</v>
      </c>
      <c r="B11" s="26" t="s">
        <v>144</v>
      </c>
      <c r="C11" s="26" t="s">
        <v>79</v>
      </c>
      <c r="D11" s="27" t="s">
        <v>39</v>
      </c>
      <c r="E11" s="2">
        <v>44472000</v>
      </c>
      <c r="F11" s="1">
        <v>44472000</v>
      </c>
      <c r="G11" s="1">
        <v>33347000</v>
      </c>
      <c r="H11" s="1">
        <v>924000</v>
      </c>
      <c r="I11" s="28"/>
      <c r="J11" s="23">
        <f>K11+N11</f>
        <v>35000</v>
      </c>
      <c r="K11" s="1">
        <v>35000</v>
      </c>
      <c r="L11" s="1"/>
      <c r="M11" s="1"/>
      <c r="N11" s="1"/>
      <c r="O11" s="1"/>
      <c r="P11" s="29"/>
      <c r="Q11" s="25">
        <f t="shared" ref="Q11:Q12" si="1">F11+J11</f>
        <v>44507000</v>
      </c>
      <c r="R11" s="30"/>
    </row>
    <row r="12" spans="1:19" s="31" customFormat="1" ht="27.75" hidden="1" customHeight="1" x14ac:dyDescent="0.2">
      <c r="A12" s="32" t="s">
        <v>136</v>
      </c>
      <c r="B12" s="26">
        <v>6310</v>
      </c>
      <c r="C12" s="26" t="s">
        <v>91</v>
      </c>
      <c r="D12" s="27" t="s">
        <v>45</v>
      </c>
      <c r="E12" s="2"/>
      <c r="F12" s="1"/>
      <c r="G12" s="1"/>
      <c r="H12" s="1"/>
      <c r="I12" s="28"/>
      <c r="J12" s="23">
        <f>K12+N12</f>
        <v>0</v>
      </c>
      <c r="K12" s="1">
        <f>L12+M12</f>
        <v>0</v>
      </c>
      <c r="L12" s="1"/>
      <c r="M12" s="1"/>
      <c r="N12" s="1"/>
      <c r="O12" s="1"/>
      <c r="P12" s="29"/>
      <c r="Q12" s="25">
        <f t="shared" si="1"/>
        <v>0</v>
      </c>
    </row>
    <row r="13" spans="1:19" s="31" customFormat="1" ht="24" customHeight="1" x14ac:dyDescent="0.2">
      <c r="A13" s="32" t="s">
        <v>274</v>
      </c>
      <c r="B13" s="26" t="s">
        <v>167</v>
      </c>
      <c r="C13" s="26" t="s">
        <v>135</v>
      </c>
      <c r="D13" s="33" t="s">
        <v>168</v>
      </c>
      <c r="E13" s="2">
        <v>2000000</v>
      </c>
      <c r="F13" s="1">
        <v>2000000</v>
      </c>
      <c r="G13" s="1"/>
      <c r="H13" s="1"/>
      <c r="I13" s="28"/>
      <c r="J13" s="23">
        <f>K13+N13</f>
        <v>0</v>
      </c>
      <c r="K13" s="1"/>
      <c r="L13" s="1"/>
      <c r="M13" s="1"/>
      <c r="N13" s="1"/>
      <c r="O13" s="1"/>
      <c r="P13" s="29"/>
      <c r="Q13" s="25">
        <f>F13+J13</f>
        <v>2000000</v>
      </c>
    </row>
    <row r="14" spans="1:19" s="31" customFormat="1" ht="25.5" customHeight="1" x14ac:dyDescent="0.2">
      <c r="A14" s="32" t="s">
        <v>315</v>
      </c>
      <c r="B14" s="26" t="s">
        <v>61</v>
      </c>
      <c r="C14" s="26" t="s">
        <v>66</v>
      </c>
      <c r="D14" s="36" t="s">
        <v>316</v>
      </c>
      <c r="E14" s="2">
        <f>E16+E17+E18+E19+E20+E23</f>
        <v>6050000</v>
      </c>
      <c r="F14" s="1">
        <f t="shared" ref="F14:H14" si="2">F16+F17+F18+F19+F20+F23</f>
        <v>6050000</v>
      </c>
      <c r="G14" s="1">
        <f t="shared" si="2"/>
        <v>0</v>
      </c>
      <c r="H14" s="1">
        <f t="shared" si="2"/>
        <v>350000</v>
      </c>
      <c r="I14" s="28"/>
      <c r="J14" s="23">
        <f>SUM(J15:J23)</f>
        <v>30000000</v>
      </c>
      <c r="K14" s="1">
        <f t="shared" ref="K14:P14" si="3">SUM(K15:K23)</f>
        <v>0</v>
      </c>
      <c r="L14" s="1">
        <f t="shared" si="3"/>
        <v>0</v>
      </c>
      <c r="M14" s="1">
        <f t="shared" si="3"/>
        <v>0</v>
      </c>
      <c r="N14" s="1">
        <f t="shared" si="3"/>
        <v>30000000</v>
      </c>
      <c r="O14" s="1">
        <f t="shared" si="3"/>
        <v>30000000</v>
      </c>
      <c r="P14" s="29">
        <f t="shared" si="3"/>
        <v>15000000</v>
      </c>
      <c r="Q14" s="25">
        <f>F14+J14</f>
        <v>36050000</v>
      </c>
    </row>
    <row r="15" spans="1:19" s="31" customFormat="1" ht="13.5" customHeight="1" x14ac:dyDescent="0.2">
      <c r="A15" s="32"/>
      <c r="B15" s="26"/>
      <c r="C15" s="26"/>
      <c r="D15" s="36" t="s">
        <v>333</v>
      </c>
      <c r="E15" s="2"/>
      <c r="F15" s="1"/>
      <c r="G15" s="1"/>
      <c r="H15" s="1"/>
      <c r="I15" s="28"/>
      <c r="J15" s="23">
        <f t="shared" ref="J15:J84" si="4">K15+N15</f>
        <v>0</v>
      </c>
      <c r="K15" s="1"/>
      <c r="L15" s="1"/>
      <c r="M15" s="1"/>
      <c r="N15" s="1"/>
      <c r="O15" s="1"/>
      <c r="P15" s="29"/>
      <c r="Q15" s="25">
        <f t="shared" ref="Q15:Q22" si="5">F15+J15</f>
        <v>0</v>
      </c>
    </row>
    <row r="16" spans="1:19" s="31" customFormat="1" ht="17.25" customHeight="1" x14ac:dyDescent="0.2">
      <c r="A16" s="32"/>
      <c r="B16" s="26"/>
      <c r="C16" s="26"/>
      <c r="D16" s="33" t="s">
        <v>108</v>
      </c>
      <c r="E16" s="2">
        <v>750000</v>
      </c>
      <c r="F16" s="1">
        <v>750000</v>
      </c>
      <c r="G16" s="1"/>
      <c r="H16" s="1"/>
      <c r="I16" s="28"/>
      <c r="J16" s="23">
        <f t="shared" si="4"/>
        <v>0</v>
      </c>
      <c r="K16" s="1"/>
      <c r="L16" s="1"/>
      <c r="M16" s="1"/>
      <c r="N16" s="1"/>
      <c r="O16" s="1"/>
      <c r="P16" s="29"/>
      <c r="Q16" s="25">
        <f t="shared" si="5"/>
        <v>750000</v>
      </c>
    </row>
    <row r="17" spans="1:17" s="31" customFormat="1" ht="17.25" customHeight="1" x14ac:dyDescent="0.2">
      <c r="A17" s="32"/>
      <c r="B17" s="26"/>
      <c r="C17" s="26"/>
      <c r="D17" s="33" t="s">
        <v>109</v>
      </c>
      <c r="E17" s="2">
        <v>550000</v>
      </c>
      <c r="F17" s="1">
        <v>550000</v>
      </c>
      <c r="G17" s="1"/>
      <c r="H17" s="1"/>
      <c r="I17" s="28"/>
      <c r="J17" s="23">
        <f t="shared" si="4"/>
        <v>0</v>
      </c>
      <c r="K17" s="1"/>
      <c r="L17" s="1"/>
      <c r="M17" s="1"/>
      <c r="N17" s="1"/>
      <c r="O17" s="1"/>
      <c r="P17" s="29"/>
      <c r="Q17" s="25">
        <f t="shared" si="5"/>
        <v>550000</v>
      </c>
    </row>
    <row r="18" spans="1:17" s="31" customFormat="1" ht="26.25" customHeight="1" x14ac:dyDescent="0.2">
      <c r="A18" s="32"/>
      <c r="B18" s="26"/>
      <c r="C18" s="26"/>
      <c r="D18" s="33" t="s">
        <v>332</v>
      </c>
      <c r="E18" s="2">
        <v>350000</v>
      </c>
      <c r="F18" s="1">
        <v>350000</v>
      </c>
      <c r="G18" s="1"/>
      <c r="H18" s="1">
        <v>350000</v>
      </c>
      <c r="I18" s="28"/>
      <c r="J18" s="23">
        <f>K18+N18</f>
        <v>0</v>
      </c>
      <c r="K18" s="1"/>
      <c r="L18" s="1"/>
      <c r="M18" s="1"/>
      <c r="N18" s="1"/>
      <c r="O18" s="1"/>
      <c r="P18" s="29"/>
      <c r="Q18" s="25">
        <f t="shared" si="5"/>
        <v>350000</v>
      </c>
    </row>
    <row r="19" spans="1:17" s="31" customFormat="1" ht="18" customHeight="1" x14ac:dyDescent="0.2">
      <c r="A19" s="32"/>
      <c r="B19" s="26"/>
      <c r="C19" s="26"/>
      <c r="D19" s="33" t="s">
        <v>334</v>
      </c>
      <c r="E19" s="2">
        <v>1000000</v>
      </c>
      <c r="F19" s="1">
        <v>1000000</v>
      </c>
      <c r="G19" s="1"/>
      <c r="H19" s="1"/>
      <c r="I19" s="28"/>
      <c r="J19" s="23">
        <f>K19+N19</f>
        <v>0</v>
      </c>
      <c r="K19" s="1"/>
      <c r="L19" s="1"/>
      <c r="M19" s="1"/>
      <c r="N19" s="1"/>
      <c r="O19" s="1"/>
      <c r="P19" s="29"/>
      <c r="Q19" s="25">
        <f t="shared" si="5"/>
        <v>1000000</v>
      </c>
    </row>
    <row r="20" spans="1:17" s="31" customFormat="1" ht="18" customHeight="1" x14ac:dyDescent="0.2">
      <c r="A20" s="32"/>
      <c r="B20" s="26"/>
      <c r="C20" s="26"/>
      <c r="D20" s="33" t="s">
        <v>345</v>
      </c>
      <c r="E20" s="2">
        <v>2400000</v>
      </c>
      <c r="F20" s="1">
        <v>2400000</v>
      </c>
      <c r="G20" s="1"/>
      <c r="H20" s="1"/>
      <c r="I20" s="28"/>
      <c r="J20" s="23">
        <f t="shared" ref="J20:J23" si="6">K20+N20</f>
        <v>0</v>
      </c>
      <c r="K20" s="1"/>
      <c r="L20" s="1"/>
      <c r="M20" s="1"/>
      <c r="N20" s="1"/>
      <c r="O20" s="1"/>
      <c r="P20" s="29"/>
      <c r="Q20" s="25">
        <f t="shared" si="5"/>
        <v>2400000</v>
      </c>
    </row>
    <row r="21" spans="1:17" s="31" customFormat="1" ht="18" customHeight="1" x14ac:dyDescent="0.2">
      <c r="A21" s="32"/>
      <c r="B21" s="26"/>
      <c r="C21" s="26"/>
      <c r="D21" s="33" t="s">
        <v>417</v>
      </c>
      <c r="E21" s="2"/>
      <c r="F21" s="1"/>
      <c r="G21" s="1"/>
      <c r="H21" s="1"/>
      <c r="I21" s="28"/>
      <c r="J21" s="23">
        <f t="shared" si="6"/>
        <v>15000000</v>
      </c>
      <c r="K21" s="1"/>
      <c r="L21" s="1"/>
      <c r="M21" s="1"/>
      <c r="N21" s="1">
        <f>15000000</f>
        <v>15000000</v>
      </c>
      <c r="O21" s="1">
        <f>15000000</f>
        <v>15000000</v>
      </c>
      <c r="P21" s="29">
        <f t="shared" ref="P21" si="7">15000000</f>
        <v>15000000</v>
      </c>
      <c r="Q21" s="25">
        <f t="shared" si="5"/>
        <v>15000000</v>
      </c>
    </row>
    <row r="22" spans="1:17" s="31" customFormat="1" ht="30.6" customHeight="1" x14ac:dyDescent="0.2">
      <c r="A22" s="32"/>
      <c r="B22" s="26"/>
      <c r="C22" s="26"/>
      <c r="D22" s="33" t="s">
        <v>464</v>
      </c>
      <c r="E22" s="2"/>
      <c r="F22" s="1"/>
      <c r="G22" s="1"/>
      <c r="H22" s="1"/>
      <c r="I22" s="28"/>
      <c r="J22" s="23">
        <f t="shared" si="6"/>
        <v>15000000</v>
      </c>
      <c r="K22" s="1"/>
      <c r="L22" s="1"/>
      <c r="M22" s="1"/>
      <c r="N22" s="1">
        <v>15000000</v>
      </c>
      <c r="O22" s="1">
        <v>15000000</v>
      </c>
      <c r="P22" s="29"/>
      <c r="Q22" s="25">
        <f t="shared" si="5"/>
        <v>15000000</v>
      </c>
    </row>
    <row r="23" spans="1:17" s="31" customFormat="1" ht="42.75" customHeight="1" x14ac:dyDescent="0.2">
      <c r="A23" s="32"/>
      <c r="B23" s="26"/>
      <c r="C23" s="26"/>
      <c r="D23" s="33" t="s">
        <v>346</v>
      </c>
      <c r="E23" s="2">
        <v>1000000</v>
      </c>
      <c r="F23" s="1">
        <v>1000000</v>
      </c>
      <c r="G23" s="1"/>
      <c r="H23" s="1"/>
      <c r="I23" s="28"/>
      <c r="J23" s="23">
        <f t="shared" si="6"/>
        <v>0</v>
      </c>
      <c r="K23" s="1"/>
      <c r="L23" s="1"/>
      <c r="M23" s="1"/>
      <c r="N23" s="1"/>
      <c r="O23" s="1"/>
      <c r="P23" s="29"/>
      <c r="Q23" s="25">
        <f t="shared" ref="Q23" si="8">F23+J23</f>
        <v>1000000</v>
      </c>
    </row>
    <row r="24" spans="1:17" s="31" customFormat="1" ht="22.5" customHeight="1" x14ac:dyDescent="0.2">
      <c r="A24" s="32" t="s">
        <v>390</v>
      </c>
      <c r="B24" s="26" t="s">
        <v>391</v>
      </c>
      <c r="C24" s="26" t="s">
        <v>392</v>
      </c>
      <c r="D24" s="36" t="s">
        <v>389</v>
      </c>
      <c r="E24" s="2">
        <v>500000</v>
      </c>
      <c r="F24" s="1">
        <v>500000</v>
      </c>
      <c r="G24" s="1"/>
      <c r="H24" s="1"/>
      <c r="I24" s="28"/>
      <c r="J24" s="23">
        <f t="shared" si="4"/>
        <v>0</v>
      </c>
      <c r="K24" s="1"/>
      <c r="L24" s="1"/>
      <c r="M24" s="1"/>
      <c r="N24" s="1"/>
      <c r="O24" s="1"/>
      <c r="P24" s="29"/>
      <c r="Q24" s="25">
        <f>F24+J24</f>
        <v>500000</v>
      </c>
    </row>
    <row r="25" spans="1:17" s="31" customFormat="1" ht="22.5" customHeight="1" x14ac:dyDescent="0.2">
      <c r="A25" s="34" t="s">
        <v>275</v>
      </c>
      <c r="B25" s="26" t="s">
        <v>169</v>
      </c>
      <c r="C25" s="26" t="s">
        <v>91</v>
      </c>
      <c r="D25" s="35" t="s">
        <v>124</v>
      </c>
      <c r="E25" s="2"/>
      <c r="F25" s="1"/>
      <c r="G25" s="1"/>
      <c r="H25" s="1"/>
      <c r="I25" s="28"/>
      <c r="J25" s="23">
        <f t="shared" si="4"/>
        <v>5208000</v>
      </c>
      <c r="K25" s="1"/>
      <c r="L25" s="1"/>
      <c r="M25" s="1"/>
      <c r="N25" s="1">
        <f>5208000</f>
        <v>5208000</v>
      </c>
      <c r="O25" s="1">
        <f t="shared" ref="O25:P25" si="9">5208000</f>
        <v>5208000</v>
      </c>
      <c r="P25" s="29">
        <f t="shared" si="9"/>
        <v>5208000</v>
      </c>
      <c r="Q25" s="25">
        <f t="shared" ref="Q25:Q26" si="10">F25+J25</f>
        <v>5208000</v>
      </c>
    </row>
    <row r="26" spans="1:17" s="31" customFormat="1" ht="30.75" customHeight="1" x14ac:dyDescent="0.2">
      <c r="A26" s="32" t="s">
        <v>317</v>
      </c>
      <c r="B26" s="26" t="s">
        <v>318</v>
      </c>
      <c r="C26" s="26" t="s">
        <v>91</v>
      </c>
      <c r="D26" s="33" t="s">
        <v>337</v>
      </c>
      <c r="E26" s="2">
        <v>300000</v>
      </c>
      <c r="F26" s="1">
        <v>300000</v>
      </c>
      <c r="G26" s="1"/>
      <c r="H26" s="1"/>
      <c r="I26" s="28"/>
      <c r="J26" s="23">
        <f>K26+N26</f>
        <v>0</v>
      </c>
      <c r="K26" s="1"/>
      <c r="L26" s="1"/>
      <c r="M26" s="1"/>
      <c r="N26" s="1"/>
      <c r="O26" s="1"/>
      <c r="P26" s="29"/>
      <c r="Q26" s="25">
        <f t="shared" si="10"/>
        <v>300000</v>
      </c>
    </row>
    <row r="27" spans="1:17" s="31" customFormat="1" ht="30.75" customHeight="1" x14ac:dyDescent="0.2">
      <c r="A27" s="32" t="s">
        <v>328</v>
      </c>
      <c r="B27" s="26" t="s">
        <v>329</v>
      </c>
      <c r="C27" s="26" t="s">
        <v>135</v>
      </c>
      <c r="D27" s="33" t="s">
        <v>335</v>
      </c>
      <c r="E27" s="2">
        <f>E29+E30</f>
        <v>350000</v>
      </c>
      <c r="F27" s="1">
        <f>F29+F30</f>
        <v>350000</v>
      </c>
      <c r="G27" s="1">
        <f t="shared" ref="G27:H27" si="11">G29+G30</f>
        <v>0</v>
      </c>
      <c r="H27" s="1">
        <f t="shared" si="11"/>
        <v>0</v>
      </c>
      <c r="I27" s="28"/>
      <c r="J27" s="23"/>
      <c r="K27" s="1"/>
      <c r="L27" s="1"/>
      <c r="M27" s="1"/>
      <c r="N27" s="1"/>
      <c r="O27" s="1"/>
      <c r="P27" s="29"/>
      <c r="Q27" s="25">
        <f>F27+J27</f>
        <v>350000</v>
      </c>
    </row>
    <row r="28" spans="1:17" s="31" customFormat="1" ht="13.5" customHeight="1" x14ac:dyDescent="0.2">
      <c r="A28" s="32"/>
      <c r="B28" s="26"/>
      <c r="C28" s="26"/>
      <c r="D28" s="36" t="s">
        <v>333</v>
      </c>
      <c r="E28" s="2"/>
      <c r="F28" s="1"/>
      <c r="G28" s="1"/>
      <c r="H28" s="1"/>
      <c r="I28" s="28"/>
      <c r="J28" s="23"/>
      <c r="K28" s="1"/>
      <c r="L28" s="1"/>
      <c r="M28" s="1"/>
      <c r="N28" s="1"/>
      <c r="O28" s="1"/>
      <c r="P28" s="29"/>
      <c r="Q28" s="25"/>
    </row>
    <row r="29" spans="1:17" s="31" customFormat="1" ht="66.95" customHeight="1" x14ac:dyDescent="0.2">
      <c r="A29" s="32"/>
      <c r="B29" s="26"/>
      <c r="C29" s="26"/>
      <c r="D29" s="33" t="s">
        <v>336</v>
      </c>
      <c r="E29" s="2">
        <v>50000</v>
      </c>
      <c r="F29" s="1">
        <v>50000</v>
      </c>
      <c r="G29" s="1"/>
      <c r="H29" s="1"/>
      <c r="I29" s="28"/>
      <c r="J29" s="23">
        <f>K29+N29</f>
        <v>0</v>
      </c>
      <c r="K29" s="1"/>
      <c r="L29" s="1"/>
      <c r="M29" s="1"/>
      <c r="N29" s="1"/>
      <c r="O29" s="1"/>
      <c r="P29" s="29"/>
      <c r="Q29" s="25">
        <f>F29+J29</f>
        <v>50000</v>
      </c>
    </row>
    <row r="30" spans="1:17" s="31" customFormat="1" ht="75.75" customHeight="1" x14ac:dyDescent="0.2">
      <c r="A30" s="32"/>
      <c r="B30" s="26"/>
      <c r="C30" s="26"/>
      <c r="D30" s="33" t="s">
        <v>134</v>
      </c>
      <c r="E30" s="2">
        <v>300000</v>
      </c>
      <c r="F30" s="1">
        <v>300000</v>
      </c>
      <c r="G30" s="1"/>
      <c r="H30" s="1"/>
      <c r="I30" s="28"/>
      <c r="J30" s="23">
        <f>K30+N30</f>
        <v>0</v>
      </c>
      <c r="K30" s="1"/>
      <c r="L30" s="1"/>
      <c r="M30" s="1"/>
      <c r="N30" s="1"/>
      <c r="O30" s="1"/>
      <c r="P30" s="29"/>
      <c r="Q30" s="25">
        <f>F30+J30</f>
        <v>300000</v>
      </c>
    </row>
    <row r="31" spans="1:17" s="31" customFormat="1" ht="30.75" customHeight="1" x14ac:dyDescent="0.2">
      <c r="A31" s="32" t="s">
        <v>319</v>
      </c>
      <c r="B31" s="26" t="s">
        <v>320</v>
      </c>
      <c r="C31" s="26" t="s">
        <v>321</v>
      </c>
      <c r="D31" s="33" t="s">
        <v>323</v>
      </c>
      <c r="E31" s="2">
        <f>E33+E34</f>
        <v>5170000</v>
      </c>
      <c r="F31" s="1">
        <f>F33+F34</f>
        <v>5170000</v>
      </c>
      <c r="G31" s="1">
        <f>G33+G34</f>
        <v>0</v>
      </c>
      <c r="H31" s="1">
        <f>H33+H34</f>
        <v>0</v>
      </c>
      <c r="I31" s="28"/>
      <c r="J31" s="23"/>
      <c r="K31" s="1"/>
      <c r="L31" s="1"/>
      <c r="M31" s="1"/>
      <c r="N31" s="1"/>
      <c r="O31" s="1"/>
      <c r="P31" s="29"/>
      <c r="Q31" s="25">
        <f>F31+J31</f>
        <v>5170000</v>
      </c>
    </row>
    <row r="32" spans="1:17" s="31" customFormat="1" ht="12.75" customHeight="1" x14ac:dyDescent="0.2">
      <c r="A32" s="32"/>
      <c r="B32" s="26"/>
      <c r="C32" s="26"/>
      <c r="D32" s="36" t="s">
        <v>333</v>
      </c>
      <c r="E32" s="2"/>
      <c r="F32" s="1"/>
      <c r="G32" s="1"/>
      <c r="H32" s="1"/>
      <c r="I32" s="28"/>
      <c r="J32" s="23"/>
      <c r="K32" s="1"/>
      <c r="L32" s="1"/>
      <c r="M32" s="1"/>
      <c r="N32" s="1"/>
      <c r="O32" s="1"/>
      <c r="P32" s="29"/>
      <c r="Q32" s="25"/>
    </row>
    <row r="33" spans="1:20" s="31" customFormat="1" ht="27" customHeight="1" x14ac:dyDescent="0.2">
      <c r="A33" s="32"/>
      <c r="B33" s="26"/>
      <c r="C33" s="26"/>
      <c r="D33" s="33" t="s">
        <v>322</v>
      </c>
      <c r="E33" s="2">
        <v>5000000</v>
      </c>
      <c r="F33" s="1">
        <v>5000000</v>
      </c>
      <c r="G33" s="1"/>
      <c r="H33" s="1"/>
      <c r="I33" s="28"/>
      <c r="J33" s="23">
        <f>K33+N33</f>
        <v>0</v>
      </c>
      <c r="K33" s="1"/>
      <c r="L33" s="1"/>
      <c r="M33" s="1"/>
      <c r="N33" s="1"/>
      <c r="O33" s="1"/>
      <c r="P33" s="29"/>
      <c r="Q33" s="25">
        <f>F33+J33</f>
        <v>5000000</v>
      </c>
    </row>
    <row r="34" spans="1:20" s="31" customFormat="1" ht="36.75" customHeight="1" x14ac:dyDescent="0.2">
      <c r="A34" s="32"/>
      <c r="B34" s="26"/>
      <c r="C34" s="26"/>
      <c r="D34" s="33" t="s">
        <v>324</v>
      </c>
      <c r="E34" s="2">
        <v>170000</v>
      </c>
      <c r="F34" s="1">
        <v>170000</v>
      </c>
      <c r="G34" s="1"/>
      <c r="H34" s="1"/>
      <c r="I34" s="28"/>
      <c r="J34" s="23"/>
      <c r="K34" s="1"/>
      <c r="L34" s="1"/>
      <c r="M34" s="1"/>
      <c r="N34" s="1"/>
      <c r="O34" s="1"/>
      <c r="P34" s="29"/>
      <c r="Q34" s="25">
        <f t="shared" ref="Q34:Q35" si="12">F34+J34</f>
        <v>170000</v>
      </c>
    </row>
    <row r="35" spans="1:20" s="31" customFormat="1" ht="30.75" customHeight="1" x14ac:dyDescent="0.2">
      <c r="A35" s="32" t="s">
        <v>325</v>
      </c>
      <c r="B35" s="26" t="s">
        <v>326</v>
      </c>
      <c r="C35" s="26" t="s">
        <v>321</v>
      </c>
      <c r="D35" s="33" t="s">
        <v>344</v>
      </c>
      <c r="E35" s="2">
        <f>E37</f>
        <v>1000000</v>
      </c>
      <c r="F35" s="1">
        <f>F37</f>
        <v>1000000</v>
      </c>
      <c r="G35" s="1">
        <f t="shared" ref="G35:H35" si="13">G37</f>
        <v>0</v>
      </c>
      <c r="H35" s="1">
        <f t="shared" si="13"/>
        <v>0</v>
      </c>
      <c r="I35" s="28"/>
      <c r="J35" s="23"/>
      <c r="K35" s="1"/>
      <c r="L35" s="1"/>
      <c r="M35" s="1"/>
      <c r="N35" s="1"/>
      <c r="O35" s="1"/>
      <c r="P35" s="29"/>
      <c r="Q35" s="25">
        <f t="shared" si="12"/>
        <v>1000000</v>
      </c>
    </row>
    <row r="36" spans="1:20" s="31" customFormat="1" ht="14.25" customHeight="1" x14ac:dyDescent="0.2">
      <c r="A36" s="32"/>
      <c r="B36" s="26"/>
      <c r="C36" s="26"/>
      <c r="D36" s="36" t="s">
        <v>333</v>
      </c>
      <c r="E36" s="2"/>
      <c r="F36" s="1"/>
      <c r="G36" s="1"/>
      <c r="H36" s="1"/>
      <c r="I36" s="28"/>
      <c r="J36" s="23"/>
      <c r="K36" s="1"/>
      <c r="L36" s="1"/>
      <c r="M36" s="1"/>
      <c r="N36" s="1"/>
      <c r="O36" s="1"/>
      <c r="P36" s="29"/>
      <c r="Q36" s="25"/>
    </row>
    <row r="37" spans="1:20" s="31" customFormat="1" ht="41.25" customHeight="1" x14ac:dyDescent="0.2">
      <c r="A37" s="32"/>
      <c r="B37" s="26"/>
      <c r="C37" s="26"/>
      <c r="D37" s="33" t="s">
        <v>327</v>
      </c>
      <c r="E37" s="2">
        <v>1000000</v>
      </c>
      <c r="F37" s="1">
        <v>1000000</v>
      </c>
      <c r="G37" s="1"/>
      <c r="H37" s="1"/>
      <c r="I37" s="28"/>
      <c r="J37" s="23">
        <f>K37+N37</f>
        <v>0</v>
      </c>
      <c r="K37" s="1"/>
      <c r="L37" s="1"/>
      <c r="M37" s="1"/>
      <c r="N37" s="1"/>
      <c r="O37" s="1"/>
      <c r="P37" s="29"/>
      <c r="Q37" s="25">
        <f>F37+J37</f>
        <v>1000000</v>
      </c>
    </row>
    <row r="38" spans="1:20" s="31" customFormat="1" ht="22.5" customHeight="1" x14ac:dyDescent="0.2">
      <c r="A38" s="32" t="s">
        <v>331</v>
      </c>
      <c r="B38" s="26" t="s">
        <v>330</v>
      </c>
      <c r="C38" s="26" t="s">
        <v>321</v>
      </c>
      <c r="D38" s="33" t="s">
        <v>343</v>
      </c>
      <c r="E38" s="2"/>
      <c r="F38" s="1"/>
      <c r="G38" s="1"/>
      <c r="H38" s="1"/>
      <c r="I38" s="28"/>
      <c r="J38" s="23"/>
      <c r="K38" s="1"/>
      <c r="L38" s="1"/>
      <c r="M38" s="1"/>
      <c r="N38" s="1"/>
      <c r="O38" s="1"/>
      <c r="P38" s="29"/>
      <c r="Q38" s="25">
        <f t="shared" ref="Q38:Q39" si="14">F38+J38</f>
        <v>0</v>
      </c>
    </row>
    <row r="39" spans="1:20" s="31" customFormat="1" ht="13.5" customHeight="1" x14ac:dyDescent="0.2">
      <c r="A39" s="32"/>
      <c r="B39" s="26"/>
      <c r="C39" s="26"/>
      <c r="D39" s="36" t="s">
        <v>333</v>
      </c>
      <c r="E39" s="2"/>
      <c r="F39" s="1"/>
      <c r="G39" s="1"/>
      <c r="H39" s="1"/>
      <c r="I39" s="28"/>
      <c r="J39" s="23"/>
      <c r="K39" s="1"/>
      <c r="L39" s="1"/>
      <c r="M39" s="1"/>
      <c r="N39" s="1"/>
      <c r="O39" s="1"/>
      <c r="P39" s="29"/>
      <c r="Q39" s="25">
        <f t="shared" si="14"/>
        <v>0</v>
      </c>
    </row>
    <row r="40" spans="1:20" s="31" customFormat="1" ht="31.5" customHeight="1" x14ac:dyDescent="0.2">
      <c r="A40" s="32"/>
      <c r="B40" s="26"/>
      <c r="C40" s="26"/>
      <c r="D40" s="33" t="s">
        <v>407</v>
      </c>
      <c r="E40" s="2"/>
      <c r="F40" s="1"/>
      <c r="G40" s="1"/>
      <c r="H40" s="1"/>
      <c r="I40" s="28"/>
      <c r="J40" s="23">
        <f>K40+N40</f>
        <v>0</v>
      </c>
      <c r="K40" s="1"/>
      <c r="L40" s="1"/>
      <c r="M40" s="1"/>
      <c r="N40" s="1"/>
      <c r="O40" s="1"/>
      <c r="P40" s="29"/>
      <c r="Q40" s="25">
        <f>F40+J40</f>
        <v>0</v>
      </c>
    </row>
    <row r="41" spans="1:20" s="16" customFormat="1" ht="22.5" customHeight="1" x14ac:dyDescent="0.2">
      <c r="A41" s="40" t="s">
        <v>217</v>
      </c>
      <c r="B41" s="18"/>
      <c r="C41" s="18"/>
      <c r="D41" s="37" t="s">
        <v>81</v>
      </c>
      <c r="E41" s="20">
        <f>E43+E44+E45+E47+E49+E51+E52+E54+E55+E56+E57+E58+E59+E60+E61+E62+E64</f>
        <v>696190900</v>
      </c>
      <c r="F41" s="21">
        <f>F43+F44+F45+F47+F49+F51+F52+F54+F55+F56+F57+F58+F59+F60+F61+F62+F64</f>
        <v>696190900</v>
      </c>
      <c r="G41" s="21">
        <f>G43+G44+G45+G47+G49+G51+G52+G54+G55+G56+G57+G58+G59+G60+G61+G62+G64</f>
        <v>438884300</v>
      </c>
      <c r="H41" s="21">
        <f>H43+H44+H45+H47+H49+H51+H52+H54+H55+H56+H57+H58+H59+H60+H61+H62+H64</f>
        <v>66323900</v>
      </c>
      <c r="I41" s="38">
        <f t="shared" ref="I41:P41" si="15">I43+I44+I45+I47+I49+I51+I52+I54+I55+I56+I57+I58+I59+I60+I61+I62+I64</f>
        <v>0</v>
      </c>
      <c r="J41" s="39">
        <f t="shared" si="15"/>
        <v>53692900</v>
      </c>
      <c r="K41" s="21">
        <f t="shared" si="15"/>
        <v>32644000</v>
      </c>
      <c r="L41" s="21">
        <f t="shared" si="15"/>
        <v>6654700</v>
      </c>
      <c r="M41" s="21">
        <f t="shared" si="15"/>
        <v>2262200</v>
      </c>
      <c r="N41" s="21">
        <f t="shared" si="15"/>
        <v>21048900</v>
      </c>
      <c r="O41" s="21">
        <f t="shared" si="15"/>
        <v>21000000</v>
      </c>
      <c r="P41" s="24">
        <f t="shared" si="15"/>
        <v>21000000</v>
      </c>
      <c r="Q41" s="25">
        <f t="shared" ref="Q41" si="16">F41+J41</f>
        <v>749883800</v>
      </c>
      <c r="R41" s="15">
        <f>E41-E43-E58-E59-E60</f>
        <v>673334100</v>
      </c>
    </row>
    <row r="42" spans="1:20" s="16" customFormat="1" ht="21.75" customHeight="1" x14ac:dyDescent="0.2">
      <c r="A42" s="40" t="s">
        <v>276</v>
      </c>
      <c r="B42" s="18"/>
      <c r="C42" s="18"/>
      <c r="D42" s="37" t="s">
        <v>81</v>
      </c>
      <c r="E42" s="20"/>
      <c r="F42" s="21"/>
      <c r="G42" s="21"/>
      <c r="H42" s="21"/>
      <c r="I42" s="22"/>
      <c r="J42" s="23"/>
      <c r="K42" s="21"/>
      <c r="L42" s="21"/>
      <c r="M42" s="21"/>
      <c r="N42" s="21"/>
      <c r="O42" s="21"/>
      <c r="P42" s="24"/>
      <c r="Q42" s="25"/>
    </row>
    <row r="43" spans="1:20" s="31" customFormat="1" ht="22.5" x14ac:dyDescent="0.2">
      <c r="A43" s="32" t="s">
        <v>277</v>
      </c>
      <c r="B43" s="26" t="s">
        <v>144</v>
      </c>
      <c r="C43" s="26" t="s">
        <v>79</v>
      </c>
      <c r="D43" s="27" t="s">
        <v>40</v>
      </c>
      <c r="E43" s="2">
        <v>3091000</v>
      </c>
      <c r="F43" s="1">
        <v>3091000</v>
      </c>
      <c r="G43" s="1">
        <v>2453000</v>
      </c>
      <c r="H43" s="1"/>
      <c r="I43" s="28"/>
      <c r="J43" s="23">
        <f t="shared" si="4"/>
        <v>0</v>
      </c>
      <c r="K43" s="1"/>
      <c r="L43" s="1"/>
      <c r="M43" s="1"/>
      <c r="N43" s="1"/>
      <c r="O43" s="1"/>
      <c r="P43" s="29"/>
      <c r="Q43" s="25">
        <f t="shared" ref="Q43:Q53" si="17">F43+J43</f>
        <v>3091000</v>
      </c>
      <c r="R43" s="30"/>
      <c r="S43" s="30"/>
      <c r="T43" s="30"/>
    </row>
    <row r="44" spans="1:20" s="31" customFormat="1" ht="15" customHeight="1" x14ac:dyDescent="0.2">
      <c r="A44" s="32" t="s">
        <v>278</v>
      </c>
      <c r="B44" s="26">
        <v>1010</v>
      </c>
      <c r="C44" s="26" t="s">
        <v>98</v>
      </c>
      <c r="D44" s="27" t="s">
        <v>170</v>
      </c>
      <c r="E44" s="2">
        <v>126793600</v>
      </c>
      <c r="F44" s="1">
        <v>126793600</v>
      </c>
      <c r="G44" s="1">
        <v>72286800</v>
      </c>
      <c r="H44" s="1">
        <v>19034300</v>
      </c>
      <c r="I44" s="28"/>
      <c r="J44" s="23">
        <f>K44+N44</f>
        <v>14767300</v>
      </c>
      <c r="K44" s="1">
        <v>14267300</v>
      </c>
      <c r="L44" s="1">
        <v>839100</v>
      </c>
      <c r="M44" s="1"/>
      <c r="N44" s="1">
        <f>500000</f>
        <v>500000</v>
      </c>
      <c r="O44" s="1">
        <f t="shared" ref="O44:P44" si="18">500000</f>
        <v>500000</v>
      </c>
      <c r="P44" s="29">
        <f t="shared" si="18"/>
        <v>500000</v>
      </c>
      <c r="Q44" s="25">
        <f t="shared" si="17"/>
        <v>141560900</v>
      </c>
      <c r="R44" s="41"/>
      <c r="S44" s="41"/>
      <c r="T44" s="41"/>
    </row>
    <row r="45" spans="1:20" s="31" customFormat="1" ht="62.25" customHeight="1" x14ac:dyDescent="0.2">
      <c r="A45" s="32" t="s">
        <v>279</v>
      </c>
      <c r="B45" s="26">
        <v>1020</v>
      </c>
      <c r="C45" s="26" t="s">
        <v>99</v>
      </c>
      <c r="D45" s="27" t="s">
        <v>41</v>
      </c>
      <c r="E45" s="2">
        <v>378913800</v>
      </c>
      <c r="F45" s="1">
        <v>378913800</v>
      </c>
      <c r="G45" s="1">
        <v>249692800</v>
      </c>
      <c r="H45" s="1">
        <v>26940000</v>
      </c>
      <c r="I45" s="28"/>
      <c r="J45" s="23">
        <f>K45+N45</f>
        <v>23260900</v>
      </c>
      <c r="K45" s="1">
        <v>3260900</v>
      </c>
      <c r="L45" s="1">
        <v>1598300</v>
      </c>
      <c r="M45" s="1">
        <v>12500</v>
      </c>
      <c r="N45" s="1">
        <f>20000000</f>
        <v>20000000</v>
      </c>
      <c r="O45" s="1">
        <f t="shared" ref="O45:P45" si="19">20000000</f>
        <v>20000000</v>
      </c>
      <c r="P45" s="29">
        <f t="shared" si="19"/>
        <v>20000000</v>
      </c>
      <c r="Q45" s="25">
        <f t="shared" si="17"/>
        <v>402174700</v>
      </c>
      <c r="R45" s="42"/>
      <c r="S45" s="43"/>
      <c r="T45" s="42"/>
    </row>
    <row r="46" spans="1:20" s="31" customFormat="1" ht="41.25" customHeight="1" x14ac:dyDescent="0.2">
      <c r="A46" s="32"/>
      <c r="B46" s="26"/>
      <c r="C46" s="26"/>
      <c r="D46" s="44" t="s">
        <v>70</v>
      </c>
      <c r="E46" s="2">
        <v>247086100</v>
      </c>
      <c r="F46" s="1">
        <v>247086100</v>
      </c>
      <c r="G46" s="1">
        <v>202529600</v>
      </c>
      <c r="H46" s="1"/>
      <c r="I46" s="28"/>
      <c r="J46" s="23"/>
      <c r="K46" s="1"/>
      <c r="L46" s="1"/>
      <c r="M46" s="1"/>
      <c r="N46" s="1"/>
      <c r="O46" s="1"/>
      <c r="P46" s="29"/>
      <c r="Q46" s="25">
        <f t="shared" si="17"/>
        <v>247086100</v>
      </c>
    </row>
    <row r="47" spans="1:20" s="31" customFormat="1" ht="22.5" x14ac:dyDescent="0.2">
      <c r="A47" s="32" t="s">
        <v>280</v>
      </c>
      <c r="B47" s="26">
        <v>1030</v>
      </c>
      <c r="C47" s="26" t="s">
        <v>99</v>
      </c>
      <c r="D47" s="27" t="s">
        <v>42</v>
      </c>
      <c r="E47" s="2">
        <v>1733600</v>
      </c>
      <c r="F47" s="1">
        <v>1733600</v>
      </c>
      <c r="G47" s="1">
        <v>1139800</v>
      </c>
      <c r="H47" s="1">
        <v>109000</v>
      </c>
      <c r="I47" s="28"/>
      <c r="J47" s="23">
        <f t="shared" si="4"/>
        <v>0</v>
      </c>
      <c r="K47" s="1"/>
      <c r="L47" s="1"/>
      <c r="M47" s="1"/>
      <c r="N47" s="1"/>
      <c r="O47" s="1"/>
      <c r="P47" s="29"/>
      <c r="Q47" s="25">
        <f t="shared" si="17"/>
        <v>1733600</v>
      </c>
    </row>
    <row r="48" spans="1:20" s="31" customFormat="1" ht="39" customHeight="1" x14ac:dyDescent="0.2">
      <c r="A48" s="32"/>
      <c r="B48" s="26"/>
      <c r="C48" s="26"/>
      <c r="D48" s="44" t="s">
        <v>70</v>
      </c>
      <c r="E48" s="2">
        <v>963200</v>
      </c>
      <c r="F48" s="1">
        <v>963200</v>
      </c>
      <c r="G48" s="1">
        <v>789500</v>
      </c>
      <c r="H48" s="1"/>
      <c r="I48" s="28"/>
      <c r="J48" s="23"/>
      <c r="K48" s="1"/>
      <c r="L48" s="1"/>
      <c r="M48" s="1"/>
      <c r="N48" s="1"/>
      <c r="O48" s="1"/>
      <c r="P48" s="29"/>
      <c r="Q48" s="25">
        <f t="shared" si="17"/>
        <v>963200</v>
      </c>
      <c r="R48" s="42"/>
    </row>
    <row r="49" spans="1:18" s="31" customFormat="1" ht="63.75" customHeight="1" x14ac:dyDescent="0.2">
      <c r="A49" s="32" t="s">
        <v>281</v>
      </c>
      <c r="B49" s="26">
        <v>1070</v>
      </c>
      <c r="C49" s="26" t="s">
        <v>100</v>
      </c>
      <c r="D49" s="45" t="s">
        <v>43</v>
      </c>
      <c r="E49" s="2">
        <v>13639900</v>
      </c>
      <c r="F49" s="1">
        <v>13639900</v>
      </c>
      <c r="G49" s="1">
        <v>9540200</v>
      </c>
      <c r="H49" s="1">
        <v>951000</v>
      </c>
      <c r="I49" s="28"/>
      <c r="J49" s="23">
        <f t="shared" si="4"/>
        <v>0</v>
      </c>
      <c r="K49" s="1"/>
      <c r="L49" s="1"/>
      <c r="M49" s="1"/>
      <c r="N49" s="1"/>
      <c r="O49" s="1"/>
      <c r="P49" s="29"/>
      <c r="Q49" s="25">
        <f t="shared" si="17"/>
        <v>13639900</v>
      </c>
    </row>
    <row r="50" spans="1:18" s="31" customFormat="1" ht="41.25" customHeight="1" x14ac:dyDescent="0.2">
      <c r="A50" s="32"/>
      <c r="B50" s="26"/>
      <c r="C50" s="26"/>
      <c r="D50" s="46" t="s">
        <v>70</v>
      </c>
      <c r="E50" s="2">
        <v>8605500</v>
      </c>
      <c r="F50" s="1">
        <v>8605500</v>
      </c>
      <c r="G50" s="1">
        <v>7053700</v>
      </c>
      <c r="H50" s="1"/>
      <c r="I50" s="28"/>
      <c r="J50" s="23"/>
      <c r="K50" s="1"/>
      <c r="L50" s="1"/>
      <c r="M50" s="1"/>
      <c r="N50" s="1"/>
      <c r="O50" s="1"/>
      <c r="P50" s="29"/>
      <c r="Q50" s="25">
        <f t="shared" si="17"/>
        <v>8605500</v>
      </c>
    </row>
    <row r="51" spans="1:18" s="31" customFormat="1" ht="37.5" customHeight="1" x14ac:dyDescent="0.2">
      <c r="A51" s="32" t="s">
        <v>282</v>
      </c>
      <c r="B51" s="26">
        <v>1090</v>
      </c>
      <c r="C51" s="26" t="s">
        <v>101</v>
      </c>
      <c r="D51" s="45" t="s">
        <v>44</v>
      </c>
      <c r="E51" s="2">
        <v>17047000</v>
      </c>
      <c r="F51" s="1">
        <v>17047000</v>
      </c>
      <c r="G51" s="1">
        <v>12080700</v>
      </c>
      <c r="H51" s="1">
        <v>1684500</v>
      </c>
      <c r="I51" s="28"/>
      <c r="J51" s="23">
        <f t="shared" si="4"/>
        <v>1900000</v>
      </c>
      <c r="K51" s="1">
        <v>1900000</v>
      </c>
      <c r="L51" s="1">
        <v>394200</v>
      </c>
      <c r="M51" s="1">
        <v>200000</v>
      </c>
      <c r="N51" s="1"/>
      <c r="O51" s="1"/>
      <c r="P51" s="29"/>
      <c r="Q51" s="25">
        <f t="shared" si="17"/>
        <v>18947000</v>
      </c>
    </row>
    <row r="52" spans="1:18" s="31" customFormat="1" ht="29.25" customHeight="1" x14ac:dyDescent="0.2">
      <c r="A52" s="32" t="s">
        <v>283</v>
      </c>
      <c r="B52" s="26" t="s">
        <v>171</v>
      </c>
      <c r="C52" s="26" t="s">
        <v>67</v>
      </c>
      <c r="D52" s="45" t="s">
        <v>172</v>
      </c>
      <c r="E52" s="2">
        <v>115180000</v>
      </c>
      <c r="F52" s="1">
        <v>115180000</v>
      </c>
      <c r="G52" s="1">
        <v>66205900</v>
      </c>
      <c r="H52" s="1">
        <v>13465800</v>
      </c>
      <c r="I52" s="28"/>
      <c r="J52" s="23">
        <f t="shared" si="4"/>
        <v>11200000</v>
      </c>
      <c r="K52" s="1">
        <v>11151100</v>
      </c>
      <c r="L52" s="1">
        <v>3026700</v>
      </c>
      <c r="M52" s="1">
        <v>2039700</v>
      </c>
      <c r="N52" s="1">
        <v>48900</v>
      </c>
      <c r="O52" s="1"/>
      <c r="P52" s="29"/>
      <c r="Q52" s="25">
        <f t="shared" si="17"/>
        <v>126380000</v>
      </c>
      <c r="R52" s="42"/>
    </row>
    <row r="53" spans="1:18" s="31" customFormat="1" ht="38.25" customHeight="1" x14ac:dyDescent="0.2">
      <c r="A53" s="32"/>
      <c r="B53" s="26"/>
      <c r="C53" s="26"/>
      <c r="D53" s="46" t="s">
        <v>70</v>
      </c>
      <c r="E53" s="2">
        <v>20771200</v>
      </c>
      <c r="F53" s="1">
        <v>20771200</v>
      </c>
      <c r="G53" s="1">
        <v>17025600</v>
      </c>
      <c r="H53" s="1"/>
      <c r="I53" s="28"/>
      <c r="J53" s="23"/>
      <c r="K53" s="1"/>
      <c r="L53" s="1"/>
      <c r="M53" s="1"/>
      <c r="N53" s="1"/>
      <c r="O53" s="1"/>
      <c r="P53" s="29"/>
      <c r="Q53" s="25">
        <f t="shared" si="17"/>
        <v>20771200</v>
      </c>
    </row>
    <row r="54" spans="1:18" s="31" customFormat="1" ht="24.75" customHeight="1" x14ac:dyDescent="0.2">
      <c r="A54" s="32" t="s">
        <v>284</v>
      </c>
      <c r="B54" s="26">
        <v>1140</v>
      </c>
      <c r="C54" s="26" t="s">
        <v>102</v>
      </c>
      <c r="D54" s="45" t="s">
        <v>173</v>
      </c>
      <c r="E54" s="2">
        <v>50000</v>
      </c>
      <c r="F54" s="1">
        <v>50000</v>
      </c>
      <c r="G54" s="1"/>
      <c r="H54" s="1"/>
      <c r="I54" s="28"/>
      <c r="J54" s="23">
        <f t="shared" si="4"/>
        <v>0</v>
      </c>
      <c r="K54" s="1"/>
      <c r="L54" s="1"/>
      <c r="M54" s="1"/>
      <c r="N54" s="1"/>
      <c r="O54" s="1"/>
      <c r="P54" s="29"/>
      <c r="Q54" s="25">
        <f t="shared" ref="Q54:Q63" si="20">F54+J54</f>
        <v>50000</v>
      </c>
    </row>
    <row r="55" spans="1:18" s="31" customFormat="1" ht="24" customHeight="1" x14ac:dyDescent="0.2">
      <c r="A55" s="32" t="s">
        <v>285</v>
      </c>
      <c r="B55" s="26" t="s">
        <v>174</v>
      </c>
      <c r="C55" s="26" t="s">
        <v>103</v>
      </c>
      <c r="D55" s="45" t="s">
        <v>175</v>
      </c>
      <c r="E55" s="2">
        <v>3609200</v>
      </c>
      <c r="F55" s="1">
        <v>3609200</v>
      </c>
      <c r="G55" s="1">
        <v>2794400</v>
      </c>
      <c r="H55" s="1"/>
      <c r="I55" s="28"/>
      <c r="J55" s="23">
        <f t="shared" si="4"/>
        <v>0</v>
      </c>
      <c r="K55" s="1"/>
      <c r="L55" s="1"/>
      <c r="M55" s="1"/>
      <c r="N55" s="1"/>
      <c r="O55" s="1"/>
      <c r="P55" s="29"/>
      <c r="Q55" s="25">
        <f t="shared" si="20"/>
        <v>3609200</v>
      </c>
    </row>
    <row r="56" spans="1:18" s="31" customFormat="1" ht="21.95" customHeight="1" x14ac:dyDescent="0.2">
      <c r="A56" s="32" t="s">
        <v>286</v>
      </c>
      <c r="B56" s="26" t="s">
        <v>176</v>
      </c>
      <c r="C56" s="26" t="s">
        <v>103</v>
      </c>
      <c r="D56" s="45" t="s">
        <v>177</v>
      </c>
      <c r="E56" s="2">
        <v>15767000</v>
      </c>
      <c r="F56" s="1">
        <v>15767000</v>
      </c>
      <c r="G56" s="1">
        <v>11198600</v>
      </c>
      <c r="H56" s="1">
        <v>981200</v>
      </c>
      <c r="I56" s="28"/>
      <c r="J56" s="23">
        <f t="shared" si="4"/>
        <v>893000</v>
      </c>
      <c r="K56" s="1">
        <v>893000</v>
      </c>
      <c r="L56" s="1">
        <v>663900</v>
      </c>
      <c r="M56" s="1">
        <v>10000</v>
      </c>
      <c r="N56" s="1"/>
      <c r="O56" s="1"/>
      <c r="P56" s="29"/>
      <c r="Q56" s="25">
        <f t="shared" si="20"/>
        <v>16660000</v>
      </c>
    </row>
    <row r="57" spans="1:18" s="31" customFormat="1" ht="90" customHeight="1" x14ac:dyDescent="0.2">
      <c r="A57" s="32" t="s">
        <v>287</v>
      </c>
      <c r="B57" s="26" t="s">
        <v>178</v>
      </c>
      <c r="C57" s="26" t="s">
        <v>104</v>
      </c>
      <c r="D57" s="27" t="s">
        <v>179</v>
      </c>
      <c r="E57" s="2">
        <v>100000</v>
      </c>
      <c r="F57" s="1">
        <v>100000</v>
      </c>
      <c r="G57" s="1"/>
      <c r="H57" s="1"/>
      <c r="I57" s="28"/>
      <c r="J57" s="23">
        <f t="shared" si="4"/>
        <v>0</v>
      </c>
      <c r="K57" s="1"/>
      <c r="L57" s="1"/>
      <c r="M57" s="1"/>
      <c r="N57" s="1"/>
      <c r="O57" s="1"/>
      <c r="P57" s="29"/>
      <c r="Q57" s="25">
        <f t="shared" si="20"/>
        <v>100000</v>
      </c>
    </row>
    <row r="58" spans="1:18" s="31" customFormat="1" ht="21.95" customHeight="1" x14ac:dyDescent="0.2">
      <c r="A58" s="32" t="s">
        <v>288</v>
      </c>
      <c r="B58" s="26" t="s">
        <v>180</v>
      </c>
      <c r="C58" s="26" t="s">
        <v>104</v>
      </c>
      <c r="D58" s="27" t="s">
        <v>181</v>
      </c>
      <c r="E58" s="2">
        <v>3164700</v>
      </c>
      <c r="F58" s="1">
        <v>3164700</v>
      </c>
      <c r="G58" s="1">
        <v>1850000</v>
      </c>
      <c r="H58" s="1">
        <v>657700</v>
      </c>
      <c r="I58" s="28"/>
      <c r="J58" s="23">
        <f>K58+N58</f>
        <v>0</v>
      </c>
      <c r="K58" s="1"/>
      <c r="L58" s="1"/>
      <c r="M58" s="1"/>
      <c r="N58" s="1"/>
      <c r="O58" s="1"/>
      <c r="P58" s="29"/>
      <c r="Q58" s="25">
        <f t="shared" si="20"/>
        <v>3164700</v>
      </c>
    </row>
    <row r="59" spans="1:18" s="31" customFormat="1" ht="63" customHeight="1" x14ac:dyDescent="0.2">
      <c r="A59" s="32" t="s">
        <v>289</v>
      </c>
      <c r="B59" s="26" t="s">
        <v>182</v>
      </c>
      <c r="C59" s="26" t="s">
        <v>104</v>
      </c>
      <c r="D59" s="45" t="s">
        <v>183</v>
      </c>
      <c r="E59" s="2">
        <v>1000000</v>
      </c>
      <c r="F59" s="1">
        <v>1000000</v>
      </c>
      <c r="G59" s="1"/>
      <c r="H59" s="1"/>
      <c r="I59" s="28"/>
      <c r="J59" s="23">
        <f t="shared" si="4"/>
        <v>0</v>
      </c>
      <c r="K59" s="1"/>
      <c r="L59" s="1"/>
      <c r="M59" s="1"/>
      <c r="N59" s="1"/>
      <c r="O59" s="1"/>
      <c r="P59" s="29"/>
      <c r="Q59" s="25">
        <f t="shared" si="20"/>
        <v>1000000</v>
      </c>
    </row>
    <row r="60" spans="1:18" s="31" customFormat="1" ht="33" customHeight="1" x14ac:dyDescent="0.2">
      <c r="A60" s="32" t="s">
        <v>290</v>
      </c>
      <c r="B60" s="26" t="s">
        <v>149</v>
      </c>
      <c r="C60" s="26" t="s">
        <v>105</v>
      </c>
      <c r="D60" s="45" t="s">
        <v>133</v>
      </c>
      <c r="E60" s="2">
        <v>15601100</v>
      </c>
      <c r="F60" s="1">
        <v>15601100</v>
      </c>
      <c r="G60" s="1">
        <v>9642100</v>
      </c>
      <c r="H60" s="1">
        <v>2500400</v>
      </c>
      <c r="I60" s="28"/>
      <c r="J60" s="23">
        <f t="shared" si="4"/>
        <v>671700</v>
      </c>
      <c r="K60" s="1">
        <v>171700</v>
      </c>
      <c r="L60" s="1">
        <v>132500</v>
      </c>
      <c r="M60" s="1"/>
      <c r="N60" s="1">
        <f>500000</f>
        <v>500000</v>
      </c>
      <c r="O60" s="1">
        <f t="shared" ref="O60:P60" si="21">500000</f>
        <v>500000</v>
      </c>
      <c r="P60" s="29">
        <f t="shared" si="21"/>
        <v>500000</v>
      </c>
      <c r="Q60" s="25">
        <f t="shared" si="20"/>
        <v>16272800</v>
      </c>
    </row>
    <row r="61" spans="1:18" s="31" customFormat="1" ht="21.95" hidden="1" customHeight="1" x14ac:dyDescent="0.2">
      <c r="A61" s="32">
        <v>1016310</v>
      </c>
      <c r="B61" s="26">
        <v>6310</v>
      </c>
      <c r="C61" s="26" t="s">
        <v>91</v>
      </c>
      <c r="D61" s="27" t="s">
        <v>45</v>
      </c>
      <c r="E61" s="2"/>
      <c r="F61" s="1"/>
      <c r="G61" s="1"/>
      <c r="H61" s="1"/>
      <c r="I61" s="28">
        <f>J61</f>
        <v>0</v>
      </c>
      <c r="J61" s="23">
        <f t="shared" si="4"/>
        <v>0</v>
      </c>
      <c r="K61" s="1"/>
      <c r="L61" s="1"/>
      <c r="M61" s="1"/>
      <c r="N61" s="1">
        <f>O61</f>
        <v>0</v>
      </c>
      <c r="O61" s="1"/>
      <c r="P61" s="29"/>
      <c r="Q61" s="47">
        <f t="shared" si="20"/>
        <v>0</v>
      </c>
    </row>
    <row r="62" spans="1:18" s="31" customFormat="1" ht="12" customHeight="1" x14ac:dyDescent="0.2">
      <c r="A62" s="32" t="s">
        <v>286</v>
      </c>
      <c r="B62" s="26" t="s">
        <v>176</v>
      </c>
      <c r="C62" s="26" t="s">
        <v>103</v>
      </c>
      <c r="D62" s="27" t="s">
        <v>376</v>
      </c>
      <c r="E62" s="2">
        <v>500000</v>
      </c>
      <c r="F62" s="1">
        <v>500000</v>
      </c>
      <c r="G62" s="1"/>
      <c r="H62" s="1"/>
      <c r="I62" s="28"/>
      <c r="J62" s="23">
        <f>K62+N62</f>
        <v>0</v>
      </c>
      <c r="K62" s="1"/>
      <c r="L62" s="1"/>
      <c r="M62" s="1"/>
      <c r="N62" s="1"/>
      <c r="O62" s="1"/>
      <c r="P62" s="29"/>
      <c r="Q62" s="47">
        <f t="shared" si="20"/>
        <v>500000</v>
      </c>
    </row>
    <row r="63" spans="1:18" s="31" customFormat="1" ht="27.75" customHeight="1" x14ac:dyDescent="0.2">
      <c r="A63" s="32"/>
      <c r="B63" s="26"/>
      <c r="C63" s="26"/>
      <c r="D63" s="48" t="s">
        <v>97</v>
      </c>
      <c r="E63" s="2">
        <v>500000</v>
      </c>
      <c r="F63" s="1">
        <v>500000</v>
      </c>
      <c r="G63" s="1"/>
      <c r="H63" s="1"/>
      <c r="I63" s="28"/>
      <c r="J63" s="23"/>
      <c r="K63" s="1"/>
      <c r="L63" s="1"/>
      <c r="M63" s="1"/>
      <c r="N63" s="1"/>
      <c r="O63" s="1"/>
      <c r="P63" s="29"/>
      <c r="Q63" s="47">
        <f t="shared" si="20"/>
        <v>500000</v>
      </c>
    </row>
    <row r="64" spans="1:18" s="31" customFormat="1" ht="81.75" customHeight="1" x14ac:dyDescent="0.2">
      <c r="A64" s="32" t="s">
        <v>291</v>
      </c>
      <c r="B64" s="26" t="s">
        <v>165</v>
      </c>
      <c r="C64" s="26" t="s">
        <v>91</v>
      </c>
      <c r="D64" s="27" t="s">
        <v>166</v>
      </c>
      <c r="E64" s="2"/>
      <c r="F64" s="1"/>
      <c r="G64" s="1"/>
      <c r="H64" s="1"/>
      <c r="I64" s="28"/>
      <c r="J64" s="23">
        <f t="shared" si="4"/>
        <v>1000000</v>
      </c>
      <c r="K64" s="1">
        <v>1000000</v>
      </c>
      <c r="L64" s="1"/>
      <c r="M64" s="1"/>
      <c r="N64" s="1"/>
      <c r="O64" s="1"/>
      <c r="P64" s="29"/>
      <c r="Q64" s="25">
        <f>F64+J64</f>
        <v>1000000</v>
      </c>
    </row>
    <row r="65" spans="1:20" s="16" customFormat="1" ht="25.5" customHeight="1" x14ac:dyDescent="0.2">
      <c r="A65" s="40" t="s">
        <v>218</v>
      </c>
      <c r="B65" s="18"/>
      <c r="C65" s="18"/>
      <c r="D65" s="19" t="s">
        <v>185</v>
      </c>
      <c r="E65" s="49">
        <f>E68+E70+E72+E74+E76++E67</f>
        <v>235371700</v>
      </c>
      <c r="F65" s="50">
        <f>F68+F70+F72+F74+F76++F67</f>
        <v>235371700</v>
      </c>
      <c r="G65" s="50">
        <f t="shared" ref="G65:I65" si="22">G68+G70+G72+G74+G76++G67</f>
        <v>1021000</v>
      </c>
      <c r="H65" s="50">
        <f t="shared" si="22"/>
        <v>42000</v>
      </c>
      <c r="I65" s="51">
        <f t="shared" si="22"/>
        <v>0</v>
      </c>
      <c r="J65" s="52">
        <f>J68+J70+J72+J74+J76++J67+J78</f>
        <v>38349900</v>
      </c>
      <c r="K65" s="50">
        <f>K68+K70+K72+K74+K76++K67+K78</f>
        <v>3934900</v>
      </c>
      <c r="L65" s="50">
        <f t="shared" ref="L65:M65" si="23">L68+L70+L72+L74+L76++L67+L78</f>
        <v>0</v>
      </c>
      <c r="M65" s="50">
        <f t="shared" si="23"/>
        <v>0</v>
      </c>
      <c r="N65" s="50">
        <f>N68+N70+N72+N74+N76++N67+N78</f>
        <v>34415000</v>
      </c>
      <c r="O65" s="50">
        <f>O68+O70+O72+O74+O76++O67+O78</f>
        <v>31850000</v>
      </c>
      <c r="P65" s="50">
        <f>P68+P70+P72+P74+P76++P67+P78</f>
        <v>31850000</v>
      </c>
      <c r="Q65" s="53">
        <f>Q68+Q70+Q72+Q74+Q76++Q67+Q78</f>
        <v>273721600</v>
      </c>
      <c r="R65" s="54">
        <f>R66-R67</f>
        <v>29363400</v>
      </c>
      <c r="S65" s="54"/>
      <c r="T65" s="54"/>
    </row>
    <row r="66" spans="1:20" s="16" customFormat="1" ht="26.25" customHeight="1" x14ac:dyDescent="0.2">
      <c r="A66" s="40" t="s">
        <v>219</v>
      </c>
      <c r="B66" s="18"/>
      <c r="C66" s="18"/>
      <c r="D66" s="19" t="s">
        <v>185</v>
      </c>
      <c r="E66" s="49"/>
      <c r="F66" s="50"/>
      <c r="G66" s="50"/>
      <c r="H66" s="50"/>
      <c r="I66" s="51"/>
      <c r="J66" s="23"/>
      <c r="K66" s="21"/>
      <c r="L66" s="21"/>
      <c r="M66" s="21"/>
      <c r="N66" s="21"/>
      <c r="O66" s="21"/>
      <c r="P66" s="24"/>
      <c r="Q66" s="25"/>
      <c r="R66" s="54">
        <f>F68+F70+F72+F74</f>
        <v>233659700</v>
      </c>
    </row>
    <row r="67" spans="1:20" s="16" customFormat="1" ht="26.25" customHeight="1" x14ac:dyDescent="0.2">
      <c r="A67" s="32" t="s">
        <v>220</v>
      </c>
      <c r="B67" s="26" t="s">
        <v>144</v>
      </c>
      <c r="C67" s="26" t="s">
        <v>79</v>
      </c>
      <c r="D67" s="27" t="s">
        <v>184</v>
      </c>
      <c r="E67" s="55">
        <v>1412000</v>
      </c>
      <c r="F67" s="56">
        <v>1412000</v>
      </c>
      <c r="G67" s="56">
        <v>1021000</v>
      </c>
      <c r="H67" s="56">
        <v>42000</v>
      </c>
      <c r="I67" s="51"/>
      <c r="J67" s="23">
        <f>K67+N67</f>
        <v>550000</v>
      </c>
      <c r="K67" s="1"/>
      <c r="L67" s="1"/>
      <c r="M67" s="1"/>
      <c r="N67" s="1">
        <f>550000</f>
        <v>550000</v>
      </c>
      <c r="O67" s="1">
        <f t="shared" ref="O67:P67" si="24">550000</f>
        <v>550000</v>
      </c>
      <c r="P67" s="29">
        <f t="shared" si="24"/>
        <v>550000</v>
      </c>
      <c r="Q67" s="47">
        <f>F67+J67</f>
        <v>1962000</v>
      </c>
      <c r="R67" s="54">
        <f>F69+F71+F73+F75</f>
        <v>204296300</v>
      </c>
    </row>
    <row r="68" spans="1:20" s="31" customFormat="1" ht="22.5" x14ac:dyDescent="0.2">
      <c r="A68" s="32" t="s">
        <v>221</v>
      </c>
      <c r="B68" s="26">
        <v>2010</v>
      </c>
      <c r="C68" s="26" t="s">
        <v>73</v>
      </c>
      <c r="D68" s="27" t="s">
        <v>46</v>
      </c>
      <c r="E68" s="55">
        <f>F68</f>
        <v>122152300</v>
      </c>
      <c r="F68" s="56">
        <v>122152300</v>
      </c>
      <c r="G68" s="56"/>
      <c r="H68" s="56"/>
      <c r="I68" s="57"/>
      <c r="J68" s="23">
        <f>K68+N68</f>
        <v>28430000</v>
      </c>
      <c r="K68" s="1">
        <v>530000</v>
      </c>
      <c r="L68" s="1"/>
      <c r="M68" s="1"/>
      <c r="N68" s="1">
        <f>100000+27800000</f>
        <v>27900000</v>
      </c>
      <c r="O68" s="1">
        <f>27800000</f>
        <v>27800000</v>
      </c>
      <c r="P68" s="29">
        <f>27800000</f>
        <v>27800000</v>
      </c>
      <c r="Q68" s="47">
        <f t="shared" ref="Q68:Q78" si="25">F68+J68</f>
        <v>150582300</v>
      </c>
    </row>
    <row r="69" spans="1:20" s="59" customFormat="1" ht="43.5" customHeight="1" x14ac:dyDescent="0.2">
      <c r="A69" s="32"/>
      <c r="B69" s="26"/>
      <c r="C69" s="26"/>
      <c r="D69" s="58" t="s">
        <v>72</v>
      </c>
      <c r="E69" s="55">
        <f t="shared" ref="E69:E78" si="26">F69</f>
        <v>105107900</v>
      </c>
      <c r="F69" s="56">
        <v>105107900</v>
      </c>
      <c r="G69" s="56"/>
      <c r="H69" s="56"/>
      <c r="I69" s="57"/>
      <c r="J69" s="23"/>
      <c r="K69" s="1"/>
      <c r="L69" s="1"/>
      <c r="M69" s="1"/>
      <c r="N69" s="1"/>
      <c r="O69" s="1"/>
      <c r="P69" s="29"/>
      <c r="Q69" s="47">
        <f t="shared" si="25"/>
        <v>105107900</v>
      </c>
    </row>
    <row r="70" spans="1:20" s="31" customFormat="1" ht="33" customHeight="1" x14ac:dyDescent="0.2">
      <c r="A70" s="32" t="s">
        <v>222</v>
      </c>
      <c r="B70" s="26" t="s">
        <v>186</v>
      </c>
      <c r="C70" s="26" t="s">
        <v>74</v>
      </c>
      <c r="D70" s="27" t="s">
        <v>56</v>
      </c>
      <c r="E70" s="55">
        <f t="shared" si="26"/>
        <v>32685100</v>
      </c>
      <c r="F70" s="56">
        <v>32685100</v>
      </c>
      <c r="G70" s="56"/>
      <c r="H70" s="56"/>
      <c r="I70" s="57"/>
      <c r="J70" s="23">
        <f t="shared" si="4"/>
        <v>1263500</v>
      </c>
      <c r="K70" s="1">
        <v>38500</v>
      </c>
      <c r="L70" s="1"/>
      <c r="M70" s="1"/>
      <c r="N70" s="1">
        <f>1225000</f>
        <v>1225000</v>
      </c>
      <c r="O70" s="1">
        <f t="shared" ref="O70:P70" si="27">1225000</f>
        <v>1225000</v>
      </c>
      <c r="P70" s="29">
        <f t="shared" si="27"/>
        <v>1225000</v>
      </c>
      <c r="Q70" s="47">
        <f t="shared" si="25"/>
        <v>33948600</v>
      </c>
    </row>
    <row r="71" spans="1:20" s="31" customFormat="1" ht="40.5" customHeight="1" x14ac:dyDescent="0.2">
      <c r="A71" s="32"/>
      <c r="B71" s="26"/>
      <c r="C71" s="26"/>
      <c r="D71" s="58" t="s">
        <v>72</v>
      </c>
      <c r="E71" s="55">
        <f t="shared" si="26"/>
        <v>26516600</v>
      </c>
      <c r="F71" s="56">
        <v>26516600</v>
      </c>
      <c r="G71" s="56"/>
      <c r="H71" s="56"/>
      <c r="I71" s="57"/>
      <c r="J71" s="23"/>
      <c r="K71" s="1"/>
      <c r="L71" s="1"/>
      <c r="M71" s="1"/>
      <c r="N71" s="1"/>
      <c r="O71" s="1"/>
      <c r="P71" s="29"/>
      <c r="Q71" s="47">
        <f t="shared" si="25"/>
        <v>26516600</v>
      </c>
    </row>
    <row r="72" spans="1:20" s="31" customFormat="1" ht="24.75" customHeight="1" x14ac:dyDescent="0.2">
      <c r="A72" s="32" t="s">
        <v>223</v>
      </c>
      <c r="B72" s="26" t="s">
        <v>187</v>
      </c>
      <c r="C72" s="26" t="s">
        <v>75</v>
      </c>
      <c r="D72" s="27" t="s">
        <v>47</v>
      </c>
      <c r="E72" s="55">
        <f t="shared" si="26"/>
        <v>66444300</v>
      </c>
      <c r="F72" s="56">
        <v>66444300</v>
      </c>
      <c r="G72" s="56"/>
      <c r="H72" s="56"/>
      <c r="I72" s="57"/>
      <c r="J72" s="23">
        <f t="shared" si="4"/>
        <v>4517000</v>
      </c>
      <c r="K72" s="1">
        <v>2587000</v>
      </c>
      <c r="L72" s="1"/>
      <c r="M72" s="1"/>
      <c r="N72" s="1">
        <f>35000+1895000</f>
        <v>1930000</v>
      </c>
      <c r="O72" s="1">
        <f>1895000</f>
        <v>1895000</v>
      </c>
      <c r="P72" s="29">
        <f>1895000</f>
        <v>1895000</v>
      </c>
      <c r="Q72" s="47">
        <f t="shared" si="25"/>
        <v>70961300</v>
      </c>
    </row>
    <row r="73" spans="1:20" s="31" customFormat="1" ht="36.75" customHeight="1" x14ac:dyDescent="0.2">
      <c r="A73" s="32"/>
      <c r="B73" s="26"/>
      <c r="C73" s="26"/>
      <c r="D73" s="60" t="s">
        <v>72</v>
      </c>
      <c r="E73" s="55">
        <f t="shared" si="26"/>
        <v>60846900</v>
      </c>
      <c r="F73" s="56">
        <v>60846900</v>
      </c>
      <c r="G73" s="56"/>
      <c r="H73" s="56"/>
      <c r="I73" s="57"/>
      <c r="J73" s="23"/>
      <c r="K73" s="1"/>
      <c r="L73" s="1"/>
      <c r="M73" s="1"/>
      <c r="N73" s="1"/>
      <c r="O73" s="1"/>
      <c r="P73" s="29"/>
      <c r="Q73" s="47">
        <f t="shared" si="25"/>
        <v>60846900</v>
      </c>
    </row>
    <row r="74" spans="1:20" s="31" customFormat="1" ht="19.5" customHeight="1" x14ac:dyDescent="0.2">
      <c r="A74" s="32" t="s">
        <v>224</v>
      </c>
      <c r="B74" s="26" t="s">
        <v>188</v>
      </c>
      <c r="C74" s="26" t="s">
        <v>76</v>
      </c>
      <c r="D74" s="27" t="s">
        <v>189</v>
      </c>
      <c r="E74" s="55">
        <f t="shared" si="26"/>
        <v>12378000</v>
      </c>
      <c r="F74" s="56">
        <v>12378000</v>
      </c>
      <c r="G74" s="56"/>
      <c r="H74" s="56"/>
      <c r="I74" s="57"/>
      <c r="J74" s="23">
        <f>K74+N74</f>
        <v>1089400</v>
      </c>
      <c r="K74" s="1">
        <f>209400+500000</f>
        <v>709400</v>
      </c>
      <c r="L74" s="1"/>
      <c r="M74" s="1"/>
      <c r="N74" s="1">
        <f>380000</f>
        <v>380000</v>
      </c>
      <c r="O74" s="1">
        <f t="shared" ref="O74:P74" si="28">380000</f>
        <v>380000</v>
      </c>
      <c r="P74" s="29">
        <f t="shared" si="28"/>
        <v>380000</v>
      </c>
      <c r="Q74" s="47">
        <f t="shared" si="25"/>
        <v>13467400</v>
      </c>
    </row>
    <row r="75" spans="1:20" s="31" customFormat="1" ht="40.5" customHeight="1" x14ac:dyDescent="0.2">
      <c r="A75" s="32"/>
      <c r="B75" s="26"/>
      <c r="C75" s="26"/>
      <c r="D75" s="60" t="s">
        <v>72</v>
      </c>
      <c r="E75" s="55">
        <f t="shared" si="26"/>
        <v>11824900</v>
      </c>
      <c r="F75" s="56">
        <v>11824900</v>
      </c>
      <c r="G75" s="56"/>
      <c r="H75" s="56"/>
      <c r="I75" s="57"/>
      <c r="J75" s="23"/>
      <c r="K75" s="1"/>
      <c r="L75" s="1"/>
      <c r="M75" s="1"/>
      <c r="N75" s="1"/>
      <c r="O75" s="1"/>
      <c r="P75" s="29"/>
      <c r="Q75" s="47">
        <f t="shared" si="25"/>
        <v>11824900</v>
      </c>
    </row>
    <row r="76" spans="1:20" s="31" customFormat="1" ht="29.25" customHeight="1" x14ac:dyDescent="0.2">
      <c r="A76" s="32" t="s">
        <v>225</v>
      </c>
      <c r="B76" s="26" t="s">
        <v>190</v>
      </c>
      <c r="C76" s="26" t="s">
        <v>77</v>
      </c>
      <c r="D76" s="27" t="s">
        <v>191</v>
      </c>
      <c r="E76" s="55">
        <f t="shared" si="26"/>
        <v>300000</v>
      </c>
      <c r="F76" s="56">
        <v>300000</v>
      </c>
      <c r="G76" s="56"/>
      <c r="H76" s="56"/>
      <c r="I76" s="57"/>
      <c r="J76" s="23">
        <f t="shared" si="4"/>
        <v>0</v>
      </c>
      <c r="K76" s="1"/>
      <c r="L76" s="1"/>
      <c r="M76" s="1"/>
      <c r="N76" s="1"/>
      <c r="O76" s="1"/>
      <c r="P76" s="29"/>
      <c r="Q76" s="47">
        <f t="shared" si="25"/>
        <v>300000</v>
      </c>
    </row>
    <row r="77" spans="1:20" s="31" customFormat="1" ht="42" customHeight="1" x14ac:dyDescent="0.2">
      <c r="A77" s="32"/>
      <c r="B77" s="26"/>
      <c r="C77" s="26"/>
      <c r="D77" s="60" t="s">
        <v>72</v>
      </c>
      <c r="E77" s="55">
        <f t="shared" si="26"/>
        <v>0</v>
      </c>
      <c r="F77" s="56"/>
      <c r="G77" s="56"/>
      <c r="H77" s="56"/>
      <c r="I77" s="57"/>
      <c r="J77" s="23"/>
      <c r="K77" s="1"/>
      <c r="L77" s="1"/>
      <c r="M77" s="1"/>
      <c r="N77" s="1"/>
      <c r="O77" s="1"/>
      <c r="P77" s="29"/>
      <c r="Q77" s="47">
        <f t="shared" si="25"/>
        <v>0</v>
      </c>
    </row>
    <row r="78" spans="1:20" s="31" customFormat="1" ht="81" customHeight="1" x14ac:dyDescent="0.2">
      <c r="A78" s="32" t="s">
        <v>226</v>
      </c>
      <c r="B78" s="26" t="s">
        <v>165</v>
      </c>
      <c r="C78" s="26" t="s">
        <v>91</v>
      </c>
      <c r="D78" s="27" t="s">
        <v>166</v>
      </c>
      <c r="E78" s="55">
        <f t="shared" si="26"/>
        <v>0</v>
      </c>
      <c r="F78" s="61"/>
      <c r="G78" s="61"/>
      <c r="H78" s="61"/>
      <c r="I78" s="28"/>
      <c r="J78" s="23">
        <f>K78+N78</f>
        <v>2500000</v>
      </c>
      <c r="K78" s="1">
        <v>70000</v>
      </c>
      <c r="L78" s="1"/>
      <c r="M78" s="1"/>
      <c r="N78" s="1">
        <v>2430000</v>
      </c>
      <c r="O78" s="1"/>
      <c r="P78" s="29"/>
      <c r="Q78" s="47">
        <f t="shared" si="25"/>
        <v>2500000</v>
      </c>
    </row>
    <row r="79" spans="1:20" s="16" customFormat="1" ht="21.95" customHeight="1" x14ac:dyDescent="0.2">
      <c r="A79" s="40" t="s">
        <v>227</v>
      </c>
      <c r="B79" s="18"/>
      <c r="C79" s="18"/>
      <c r="D79" s="19" t="s">
        <v>14</v>
      </c>
      <c r="E79" s="20">
        <f>E81+E83+E84+E86+E87+E88+E89+E90+E91+E92+E93+E94+E95+E96+E97+E98+E99+E100+E101+E102+E103+E104+E105+E106+E107+E108+E115+E116+E119+E82</f>
        <v>787208893</v>
      </c>
      <c r="F79" s="21">
        <f>F81+F83+F84+F86+F87+F88+F89+F90+F91+F92+F93+F94+F95+F96+F97+F98+F99+F100+F101+F102+F103+F104+F105+F106+F107+F108+F115+F116+F119+F82</f>
        <v>787208893</v>
      </c>
      <c r="G79" s="21">
        <f t="shared" ref="G79:I79" si="29">G81+G83+G84+G86+G87+G88+G89+G90+G91+G92+G93+G94+G95+G96+G97+G98+G99+G100+G101+G102+G103+G104+G105+G106+G107+G108+G115+G116+G119+G82</f>
        <v>26724700</v>
      </c>
      <c r="H79" s="21">
        <f t="shared" si="29"/>
        <v>554000</v>
      </c>
      <c r="I79" s="38">
        <f t="shared" si="29"/>
        <v>0</v>
      </c>
      <c r="J79" s="39">
        <f>J81+J83+J84+J86+J87+J88+J89+J90+J91+J92+J93+J94+J95+J96+J97+J98+J99+J100+J101+J102+J103+J104+J105+J106+J107+J108+J115+J116+J119+J82+J118</f>
        <v>1140000</v>
      </c>
      <c r="K79" s="21">
        <f>K81+K83+K84+K86+K87+K88+K89+K90+K91+K92+K93+K94+K95+K96+K97+K98+K99+K100+K101+K102+K103+K104+K105+K106+K107+K108+K115+K116+K119+K82+K118</f>
        <v>500000</v>
      </c>
      <c r="L79" s="21">
        <f t="shared" ref="L79:M79" si="30">L81+L83+L84+L86+L87+L88+L89+L90+L91+L92+L93+L94+L95+L96+L97+L98+L99+L100+L101+L102+L103+L104+L105+L106+L107+L108+L115+L116+L119+L82+L118</f>
        <v>0</v>
      </c>
      <c r="M79" s="21">
        <f t="shared" si="30"/>
        <v>0</v>
      </c>
      <c r="N79" s="21">
        <f>N81+N83+N84+N86+N87+N88+N89+N90+N91+N92+N93+N94+N95+N96+N97+N98+N99+N100+N101+N102+N103+N104+N105+N106+N107+N108+N115+N116+N119+N82+N118</f>
        <v>640000</v>
      </c>
      <c r="O79" s="21">
        <f>O81+O83+O84+O86+O87+O88+O89+O90+O91+O92+O93+O94+O95+O96+O97+O98+O99+O100+O101+O102+O103+O104+O105+O106+O107+O108+O115+O116+O119+O82+O118</f>
        <v>640000</v>
      </c>
      <c r="P79" s="24">
        <f>P81+P83+P84+P86+P87+P88+P89+P90+P91+P92+P93+P94+P95+P96+P97+P98+P99+P100+P101+P102+P103+P104+P105+P106+P107+P108+P115+P116+P119+P82+P118</f>
        <v>640000</v>
      </c>
      <c r="Q79" s="25">
        <f>F79+J79</f>
        <v>788348893</v>
      </c>
      <c r="R79" s="15"/>
      <c r="S79" s="15"/>
    </row>
    <row r="80" spans="1:20" s="16" customFormat="1" ht="21.95" customHeight="1" x14ac:dyDescent="0.2">
      <c r="A80" s="40" t="s">
        <v>272</v>
      </c>
      <c r="B80" s="18"/>
      <c r="C80" s="18"/>
      <c r="D80" s="19" t="s">
        <v>14</v>
      </c>
      <c r="E80" s="62"/>
      <c r="F80" s="63"/>
      <c r="G80" s="63"/>
      <c r="H80" s="63"/>
      <c r="I80" s="22"/>
      <c r="J80" s="23">
        <f t="shared" si="4"/>
        <v>0</v>
      </c>
      <c r="K80" s="21"/>
      <c r="L80" s="21"/>
      <c r="M80" s="21"/>
      <c r="N80" s="21"/>
      <c r="O80" s="21"/>
      <c r="P80" s="24"/>
      <c r="Q80" s="47">
        <f t="shared" ref="Q80:Q119" si="31">F80+J80</f>
        <v>0</v>
      </c>
    </row>
    <row r="81" spans="1:18" s="31" customFormat="1" ht="23.25" customHeight="1" x14ac:dyDescent="0.2">
      <c r="A81" s="32" t="s">
        <v>241</v>
      </c>
      <c r="B81" s="26" t="s">
        <v>144</v>
      </c>
      <c r="C81" s="26" t="s">
        <v>79</v>
      </c>
      <c r="D81" s="27" t="s">
        <v>15</v>
      </c>
      <c r="E81" s="2">
        <v>26590000</v>
      </c>
      <c r="F81" s="1">
        <v>26590000</v>
      </c>
      <c r="G81" s="1">
        <v>20574000</v>
      </c>
      <c r="H81" s="1">
        <v>220000</v>
      </c>
      <c r="I81" s="28"/>
      <c r="J81" s="23">
        <f>K81+N81</f>
        <v>490000</v>
      </c>
      <c r="K81" s="1"/>
      <c r="L81" s="1"/>
      <c r="M81" s="1"/>
      <c r="N81" s="1">
        <f>490000</f>
        <v>490000</v>
      </c>
      <c r="O81" s="1">
        <f t="shared" ref="O81:P81" si="32">490000</f>
        <v>490000</v>
      </c>
      <c r="P81" s="29">
        <f t="shared" si="32"/>
        <v>490000</v>
      </c>
      <c r="Q81" s="47">
        <f t="shared" si="31"/>
        <v>27080000</v>
      </c>
    </row>
    <row r="82" spans="1:18" s="31" customFormat="1" ht="25.5" customHeight="1" x14ac:dyDescent="0.2">
      <c r="A82" s="32" t="s">
        <v>315</v>
      </c>
      <c r="B82" s="26" t="s">
        <v>61</v>
      </c>
      <c r="C82" s="26" t="s">
        <v>66</v>
      </c>
      <c r="D82" s="36" t="s">
        <v>316</v>
      </c>
      <c r="E82" s="2">
        <f>F82</f>
        <v>10000</v>
      </c>
      <c r="F82" s="1">
        <v>10000</v>
      </c>
      <c r="G82" s="1">
        <f t="shared" ref="G82:H83" si="33">G84+G85+G86+G87+G88+G89</f>
        <v>0</v>
      </c>
      <c r="H82" s="1">
        <f t="shared" si="33"/>
        <v>0</v>
      </c>
      <c r="I82" s="28"/>
      <c r="J82" s="23">
        <f t="shared" ref="J82" si="34">K82+N82</f>
        <v>0</v>
      </c>
      <c r="K82" s="1"/>
      <c r="L82" s="1"/>
      <c r="M82" s="1"/>
      <c r="N82" s="1"/>
      <c r="O82" s="1"/>
      <c r="P82" s="29"/>
      <c r="Q82" s="25">
        <f t="shared" si="31"/>
        <v>10000</v>
      </c>
    </row>
    <row r="83" spans="1:18" s="31" customFormat="1" ht="99.75" customHeight="1" x14ac:dyDescent="0.2">
      <c r="A83" s="32" t="s">
        <v>461</v>
      </c>
      <c r="B83" s="26" t="s">
        <v>178</v>
      </c>
      <c r="C83" s="26" t="s">
        <v>104</v>
      </c>
      <c r="D83" s="27" t="s">
        <v>462</v>
      </c>
      <c r="E83" s="2">
        <f>F83</f>
        <v>1256700</v>
      </c>
      <c r="F83" s="1">
        <v>1256700</v>
      </c>
      <c r="G83" s="1">
        <f t="shared" si="33"/>
        <v>0</v>
      </c>
      <c r="H83" s="1">
        <f t="shared" si="33"/>
        <v>0</v>
      </c>
      <c r="I83" s="28"/>
      <c r="J83" s="23">
        <f t="shared" si="4"/>
        <v>0</v>
      </c>
      <c r="K83" s="1"/>
      <c r="L83" s="1"/>
      <c r="M83" s="1"/>
      <c r="N83" s="1"/>
      <c r="O83" s="1"/>
      <c r="P83" s="29"/>
      <c r="Q83" s="47">
        <f t="shared" si="31"/>
        <v>1256700</v>
      </c>
    </row>
    <row r="84" spans="1:18" s="31" customFormat="1" ht="38.25" customHeight="1" x14ac:dyDescent="0.2">
      <c r="A84" s="32" t="s">
        <v>266</v>
      </c>
      <c r="B84" s="26">
        <v>3011</v>
      </c>
      <c r="C84" s="26" t="s">
        <v>115</v>
      </c>
      <c r="D84" s="27" t="s">
        <v>265</v>
      </c>
      <c r="E84" s="2">
        <f>F84</f>
        <v>27136115</v>
      </c>
      <c r="F84" s="1">
        <v>27136115</v>
      </c>
      <c r="G84" s="1"/>
      <c r="H84" s="1">
        <f t="shared" ref="H84" si="35">H86+H87+H88+H89+H90+H91</f>
        <v>0</v>
      </c>
      <c r="I84" s="28"/>
      <c r="J84" s="23">
        <f t="shared" si="4"/>
        <v>0</v>
      </c>
      <c r="K84" s="1"/>
      <c r="L84" s="1"/>
      <c r="M84" s="1"/>
      <c r="N84" s="1"/>
      <c r="O84" s="1"/>
      <c r="P84" s="29"/>
      <c r="Q84" s="47">
        <f t="shared" si="31"/>
        <v>27136115</v>
      </c>
    </row>
    <row r="85" spans="1:18" s="31" customFormat="1" ht="31.5" customHeight="1" x14ac:dyDescent="0.2">
      <c r="A85" s="32" t="s">
        <v>267</v>
      </c>
      <c r="B85" s="26" t="s">
        <v>132</v>
      </c>
      <c r="C85" s="26" t="s">
        <v>115</v>
      </c>
      <c r="D85" s="27" t="s">
        <v>268</v>
      </c>
      <c r="E85" s="2">
        <f t="shared" ref="E85:E87" si="36">F85</f>
        <v>0</v>
      </c>
      <c r="F85" s="1"/>
      <c r="G85" s="1"/>
      <c r="H85" s="1">
        <f t="shared" ref="H85" si="37">H87+H88+H89+H90+H91+H92</f>
        <v>0</v>
      </c>
      <c r="I85" s="28"/>
      <c r="J85" s="23"/>
      <c r="K85" s="1"/>
      <c r="L85" s="1"/>
      <c r="M85" s="1"/>
      <c r="N85" s="1"/>
      <c r="O85" s="1"/>
      <c r="P85" s="29"/>
      <c r="Q85" s="47">
        <f t="shared" si="31"/>
        <v>0</v>
      </c>
    </row>
    <row r="86" spans="1:18" s="31" customFormat="1" ht="33" customHeight="1" x14ac:dyDescent="0.2">
      <c r="A86" s="32" t="s">
        <v>242</v>
      </c>
      <c r="B86" s="26" t="s">
        <v>271</v>
      </c>
      <c r="C86" s="26" t="s">
        <v>116</v>
      </c>
      <c r="D86" s="27" t="s">
        <v>16</v>
      </c>
      <c r="E86" s="2">
        <f t="shared" si="36"/>
        <v>361254573</v>
      </c>
      <c r="F86" s="1">
        <v>361254573</v>
      </c>
      <c r="G86" s="1"/>
      <c r="H86" s="1">
        <f t="shared" ref="H86" si="38">H88+H89+H90+H91+H92+H93</f>
        <v>0</v>
      </c>
      <c r="I86" s="28"/>
      <c r="J86" s="23">
        <f t="shared" ref="J86:J159" si="39">K86+N86</f>
        <v>0</v>
      </c>
      <c r="K86" s="1"/>
      <c r="L86" s="1"/>
      <c r="M86" s="1"/>
      <c r="N86" s="1"/>
      <c r="O86" s="1"/>
      <c r="P86" s="29"/>
      <c r="Q86" s="47">
        <f t="shared" si="31"/>
        <v>361254573</v>
      </c>
    </row>
    <row r="87" spans="1:18" s="31" customFormat="1" ht="45" x14ac:dyDescent="0.2">
      <c r="A87" s="32" t="s">
        <v>269</v>
      </c>
      <c r="B87" s="26" t="s">
        <v>270</v>
      </c>
      <c r="C87" s="26" t="s">
        <v>116</v>
      </c>
      <c r="D87" s="27" t="s">
        <v>55</v>
      </c>
      <c r="E87" s="2">
        <f t="shared" si="36"/>
        <v>13005</v>
      </c>
      <c r="F87" s="1">
        <v>13005</v>
      </c>
      <c r="G87" s="1"/>
      <c r="H87" s="1">
        <f t="shared" ref="H87" si="40">H89+H90+H91+H92+H93+H94</f>
        <v>0</v>
      </c>
      <c r="I87" s="28"/>
      <c r="J87" s="23">
        <f t="shared" si="39"/>
        <v>0</v>
      </c>
      <c r="K87" s="1"/>
      <c r="L87" s="1"/>
      <c r="M87" s="1"/>
      <c r="N87" s="1"/>
      <c r="O87" s="1"/>
      <c r="P87" s="29"/>
      <c r="Q87" s="47">
        <f t="shared" si="31"/>
        <v>13005</v>
      </c>
    </row>
    <row r="88" spans="1:18" s="31" customFormat="1" ht="33.75" customHeight="1" x14ac:dyDescent="0.2">
      <c r="A88" s="32" t="s">
        <v>243</v>
      </c>
      <c r="B88" s="26">
        <v>3031</v>
      </c>
      <c r="C88" s="26" t="s">
        <v>115</v>
      </c>
      <c r="D88" s="27" t="s">
        <v>207</v>
      </c>
      <c r="E88" s="2">
        <v>120000</v>
      </c>
      <c r="F88" s="1">
        <v>120000</v>
      </c>
      <c r="G88" s="1"/>
      <c r="H88" s="1">
        <f t="shared" ref="H88" si="41">H90+H91+H92+H93+H94+H95</f>
        <v>0</v>
      </c>
      <c r="I88" s="28"/>
      <c r="J88" s="23">
        <f t="shared" si="39"/>
        <v>150000</v>
      </c>
      <c r="K88" s="1"/>
      <c r="L88" s="1"/>
      <c r="M88" s="1"/>
      <c r="N88" s="1">
        <f>150000</f>
        <v>150000</v>
      </c>
      <c r="O88" s="1">
        <f t="shared" ref="O88:P88" si="42">150000</f>
        <v>150000</v>
      </c>
      <c r="P88" s="29">
        <f t="shared" si="42"/>
        <v>150000</v>
      </c>
      <c r="Q88" s="47">
        <f t="shared" si="31"/>
        <v>270000</v>
      </c>
      <c r="R88" s="30"/>
    </row>
    <row r="89" spans="1:18" s="31" customFormat="1" ht="21.95" customHeight="1" x14ac:dyDescent="0.2">
      <c r="A89" s="32" t="s">
        <v>244</v>
      </c>
      <c r="B89" s="26" t="s">
        <v>208</v>
      </c>
      <c r="C89" s="26" t="s">
        <v>88</v>
      </c>
      <c r="D89" s="27" t="s">
        <v>17</v>
      </c>
      <c r="E89" s="2">
        <v>780000</v>
      </c>
      <c r="F89" s="1">
        <v>780000</v>
      </c>
      <c r="G89" s="1"/>
      <c r="H89" s="1">
        <f t="shared" ref="H89" si="43">H91+H92+H93+H94+H95+H96</f>
        <v>0</v>
      </c>
      <c r="I89" s="28"/>
      <c r="J89" s="23">
        <f t="shared" si="39"/>
        <v>0</v>
      </c>
      <c r="K89" s="1"/>
      <c r="L89" s="1"/>
      <c r="M89" s="1"/>
      <c r="N89" s="1"/>
      <c r="O89" s="1"/>
      <c r="P89" s="29"/>
      <c r="Q89" s="47">
        <f t="shared" si="31"/>
        <v>780000</v>
      </c>
      <c r="R89" s="30"/>
    </row>
    <row r="90" spans="1:18" s="31" customFormat="1" ht="33" customHeight="1" x14ac:dyDescent="0.2">
      <c r="A90" s="32" t="s">
        <v>309</v>
      </c>
      <c r="B90" s="26" t="s">
        <v>310</v>
      </c>
      <c r="C90" s="26" t="s">
        <v>88</v>
      </c>
      <c r="D90" s="27" t="s">
        <v>128</v>
      </c>
      <c r="E90" s="2">
        <v>1155000</v>
      </c>
      <c r="F90" s="1">
        <v>1155000</v>
      </c>
      <c r="G90" s="1">
        <f t="shared" ref="G90:H90" si="44">G92+G93+G94+G95+G96+G97</f>
        <v>0</v>
      </c>
      <c r="H90" s="1">
        <f t="shared" si="44"/>
        <v>0</v>
      </c>
      <c r="I90" s="28"/>
      <c r="J90" s="23">
        <f t="shared" si="39"/>
        <v>0</v>
      </c>
      <c r="K90" s="1"/>
      <c r="L90" s="1"/>
      <c r="M90" s="1"/>
      <c r="N90" s="1"/>
      <c r="O90" s="1"/>
      <c r="P90" s="29"/>
      <c r="Q90" s="47">
        <f t="shared" si="31"/>
        <v>1155000</v>
      </c>
      <c r="R90" s="30"/>
    </row>
    <row r="91" spans="1:18" s="31" customFormat="1" ht="33" customHeight="1" x14ac:dyDescent="0.2">
      <c r="A91" s="32" t="s">
        <v>311</v>
      </c>
      <c r="B91" s="26" t="s">
        <v>312</v>
      </c>
      <c r="C91" s="26" t="s">
        <v>88</v>
      </c>
      <c r="D91" s="27" t="s">
        <v>18</v>
      </c>
      <c r="E91" s="2">
        <v>100000</v>
      </c>
      <c r="F91" s="1">
        <v>100000</v>
      </c>
      <c r="G91" s="1">
        <f t="shared" ref="G91:H91" si="45">G93+G94+G95+G96+G97+G98</f>
        <v>0</v>
      </c>
      <c r="H91" s="1">
        <f t="shared" si="45"/>
        <v>0</v>
      </c>
      <c r="I91" s="28"/>
      <c r="J91" s="23">
        <f t="shared" si="39"/>
        <v>0</v>
      </c>
      <c r="K91" s="1"/>
      <c r="L91" s="1"/>
      <c r="M91" s="1"/>
      <c r="N91" s="1"/>
      <c r="O91" s="1"/>
      <c r="P91" s="29"/>
      <c r="Q91" s="47">
        <f t="shared" si="31"/>
        <v>100000</v>
      </c>
    </row>
    <row r="92" spans="1:18" s="31" customFormat="1" ht="33" customHeight="1" x14ac:dyDescent="0.2">
      <c r="A92" s="32" t="s">
        <v>313</v>
      </c>
      <c r="B92" s="26" t="s">
        <v>314</v>
      </c>
      <c r="C92" s="26" t="s">
        <v>88</v>
      </c>
      <c r="D92" s="27" t="s">
        <v>63</v>
      </c>
      <c r="E92" s="2">
        <f>35352000-15000000</f>
        <v>20352000</v>
      </c>
      <c r="F92" s="1">
        <f>35352000-15000000</f>
        <v>20352000</v>
      </c>
      <c r="G92" s="1">
        <f t="shared" ref="G92:H92" si="46">G94+G95+G96+G97+G98+G99</f>
        <v>0</v>
      </c>
      <c r="H92" s="1">
        <f t="shared" si="46"/>
        <v>0</v>
      </c>
      <c r="I92" s="28"/>
      <c r="J92" s="23">
        <f t="shared" si="39"/>
        <v>0</v>
      </c>
      <c r="K92" s="1"/>
      <c r="L92" s="1"/>
      <c r="M92" s="1"/>
      <c r="N92" s="1"/>
      <c r="O92" s="1"/>
      <c r="P92" s="29"/>
      <c r="Q92" s="47">
        <f t="shared" si="31"/>
        <v>20352000</v>
      </c>
    </row>
    <row r="93" spans="1:18" s="31" customFormat="1" ht="21.95" customHeight="1" x14ac:dyDescent="0.2">
      <c r="A93" s="32" t="s">
        <v>245</v>
      </c>
      <c r="B93" s="26">
        <v>3041</v>
      </c>
      <c r="C93" s="26" t="s">
        <v>104</v>
      </c>
      <c r="D93" s="27" t="s">
        <v>19</v>
      </c>
      <c r="E93" s="2">
        <f t="shared" ref="E93:E101" si="47">F93</f>
        <v>2410000</v>
      </c>
      <c r="F93" s="1">
        <v>2410000</v>
      </c>
      <c r="G93" s="1"/>
      <c r="H93" s="1">
        <f t="shared" ref="H93:H100" si="48">H95+H96+H97+H98+H99+H100</f>
        <v>0</v>
      </c>
      <c r="I93" s="28"/>
      <c r="J93" s="23">
        <f t="shared" si="39"/>
        <v>0</v>
      </c>
      <c r="K93" s="1"/>
      <c r="L93" s="1"/>
      <c r="M93" s="1"/>
      <c r="N93" s="1"/>
      <c r="O93" s="1"/>
      <c r="P93" s="29"/>
      <c r="Q93" s="47">
        <f t="shared" si="31"/>
        <v>2410000</v>
      </c>
    </row>
    <row r="94" spans="1:18" s="31" customFormat="1" ht="21.95" customHeight="1" x14ac:dyDescent="0.2">
      <c r="A94" s="32" t="s">
        <v>246</v>
      </c>
      <c r="B94" s="26">
        <v>3042</v>
      </c>
      <c r="C94" s="26" t="s">
        <v>104</v>
      </c>
      <c r="D94" s="27" t="s">
        <v>209</v>
      </c>
      <c r="E94" s="2">
        <f t="shared" si="47"/>
        <v>220000</v>
      </c>
      <c r="F94" s="1">
        <v>220000</v>
      </c>
      <c r="G94" s="1"/>
      <c r="H94" s="1">
        <f t="shared" si="48"/>
        <v>0</v>
      </c>
      <c r="I94" s="28"/>
      <c r="J94" s="23">
        <f t="shared" si="39"/>
        <v>0</v>
      </c>
      <c r="K94" s="1"/>
      <c r="L94" s="1"/>
      <c r="M94" s="1"/>
      <c r="N94" s="1"/>
      <c r="O94" s="1"/>
      <c r="P94" s="29"/>
      <c r="Q94" s="47">
        <f t="shared" si="31"/>
        <v>220000</v>
      </c>
    </row>
    <row r="95" spans="1:18" s="31" customFormat="1" ht="21.95" customHeight="1" x14ac:dyDescent="0.2">
      <c r="A95" s="32" t="s">
        <v>247</v>
      </c>
      <c r="B95" s="26">
        <v>3043</v>
      </c>
      <c r="C95" s="26" t="s">
        <v>104</v>
      </c>
      <c r="D95" s="27" t="s">
        <v>20</v>
      </c>
      <c r="E95" s="2">
        <f t="shared" si="47"/>
        <v>144210400</v>
      </c>
      <c r="F95" s="1">
        <v>144210400</v>
      </c>
      <c r="G95" s="1"/>
      <c r="H95" s="1">
        <f t="shared" si="48"/>
        <v>0</v>
      </c>
      <c r="I95" s="28"/>
      <c r="J95" s="23">
        <f t="shared" si="39"/>
        <v>0</v>
      </c>
      <c r="K95" s="1"/>
      <c r="L95" s="1"/>
      <c r="M95" s="1"/>
      <c r="N95" s="1"/>
      <c r="O95" s="1"/>
      <c r="P95" s="29"/>
      <c r="Q95" s="47">
        <f t="shared" si="31"/>
        <v>144210400</v>
      </c>
    </row>
    <row r="96" spans="1:18" s="31" customFormat="1" ht="21.95" customHeight="1" x14ac:dyDescent="0.2">
      <c r="A96" s="32" t="s">
        <v>248</v>
      </c>
      <c r="B96" s="26">
        <v>3044</v>
      </c>
      <c r="C96" s="26" t="s">
        <v>104</v>
      </c>
      <c r="D96" s="27" t="s">
        <v>21</v>
      </c>
      <c r="E96" s="2">
        <f t="shared" si="47"/>
        <v>5600000</v>
      </c>
      <c r="F96" s="1">
        <v>5600000</v>
      </c>
      <c r="G96" s="1"/>
      <c r="H96" s="1">
        <f t="shared" si="48"/>
        <v>0</v>
      </c>
      <c r="I96" s="28"/>
      <c r="J96" s="23">
        <f t="shared" si="39"/>
        <v>0</v>
      </c>
      <c r="K96" s="1"/>
      <c r="L96" s="1"/>
      <c r="M96" s="1"/>
      <c r="N96" s="1"/>
      <c r="O96" s="1"/>
      <c r="P96" s="29"/>
      <c r="Q96" s="47">
        <f t="shared" si="31"/>
        <v>5600000</v>
      </c>
    </row>
    <row r="97" spans="1:18" s="31" customFormat="1" ht="21.95" customHeight="1" x14ac:dyDescent="0.2">
      <c r="A97" s="32" t="s">
        <v>249</v>
      </c>
      <c r="B97" s="26">
        <v>3045</v>
      </c>
      <c r="C97" s="26" t="s">
        <v>104</v>
      </c>
      <c r="D97" s="27" t="s">
        <v>22</v>
      </c>
      <c r="E97" s="2">
        <f t="shared" si="47"/>
        <v>20460000</v>
      </c>
      <c r="F97" s="1">
        <v>20460000</v>
      </c>
      <c r="G97" s="1"/>
      <c r="H97" s="1">
        <f t="shared" si="48"/>
        <v>0</v>
      </c>
      <c r="I97" s="28"/>
      <c r="J97" s="23">
        <f t="shared" si="39"/>
        <v>0</v>
      </c>
      <c r="K97" s="1"/>
      <c r="L97" s="1"/>
      <c r="M97" s="1"/>
      <c r="N97" s="1"/>
      <c r="O97" s="1"/>
      <c r="P97" s="29"/>
      <c r="Q97" s="47">
        <f t="shared" si="31"/>
        <v>20460000</v>
      </c>
    </row>
    <row r="98" spans="1:18" s="31" customFormat="1" ht="21.95" customHeight="1" x14ac:dyDescent="0.2">
      <c r="A98" s="32" t="s">
        <v>250</v>
      </c>
      <c r="B98" s="26">
        <v>3046</v>
      </c>
      <c r="C98" s="26" t="s">
        <v>104</v>
      </c>
      <c r="D98" s="27" t="s">
        <v>23</v>
      </c>
      <c r="E98" s="2">
        <f t="shared" si="47"/>
        <v>1453000</v>
      </c>
      <c r="F98" s="1">
        <v>1453000</v>
      </c>
      <c r="G98" s="1"/>
      <c r="H98" s="1">
        <f t="shared" si="48"/>
        <v>0</v>
      </c>
      <c r="I98" s="28"/>
      <c r="J98" s="23">
        <f t="shared" si="39"/>
        <v>0</v>
      </c>
      <c r="K98" s="1"/>
      <c r="L98" s="1"/>
      <c r="M98" s="1"/>
      <c r="N98" s="1"/>
      <c r="O98" s="1"/>
      <c r="P98" s="29"/>
      <c r="Q98" s="47">
        <f t="shared" si="31"/>
        <v>1453000</v>
      </c>
    </row>
    <row r="99" spans="1:18" s="31" customFormat="1" ht="21.95" customHeight="1" x14ac:dyDescent="0.2">
      <c r="A99" s="32" t="s">
        <v>251</v>
      </c>
      <c r="B99" s="26">
        <v>3047</v>
      </c>
      <c r="C99" s="26" t="s">
        <v>104</v>
      </c>
      <c r="D99" s="27" t="s">
        <v>24</v>
      </c>
      <c r="E99" s="2">
        <f t="shared" si="47"/>
        <v>336000</v>
      </c>
      <c r="F99" s="1">
        <v>336000</v>
      </c>
      <c r="G99" s="1"/>
      <c r="H99" s="1">
        <f t="shared" si="48"/>
        <v>0</v>
      </c>
      <c r="I99" s="28"/>
      <c r="J99" s="23">
        <f t="shared" si="39"/>
        <v>0</v>
      </c>
      <c r="K99" s="1"/>
      <c r="L99" s="1"/>
      <c r="M99" s="1"/>
      <c r="N99" s="1"/>
      <c r="O99" s="1"/>
      <c r="P99" s="29"/>
      <c r="Q99" s="47">
        <f t="shared" si="31"/>
        <v>336000</v>
      </c>
    </row>
    <row r="100" spans="1:18" s="31" customFormat="1" ht="21.95" customHeight="1" x14ac:dyDescent="0.2">
      <c r="A100" s="32" t="s">
        <v>252</v>
      </c>
      <c r="B100" s="26">
        <v>3048</v>
      </c>
      <c r="C100" s="26" t="s">
        <v>104</v>
      </c>
      <c r="D100" s="27" t="s">
        <v>25</v>
      </c>
      <c r="E100" s="2">
        <f t="shared" si="47"/>
        <v>88380000</v>
      </c>
      <c r="F100" s="1">
        <v>88380000</v>
      </c>
      <c r="G100" s="1"/>
      <c r="H100" s="1">
        <f t="shared" si="48"/>
        <v>0</v>
      </c>
      <c r="I100" s="28"/>
      <c r="J100" s="23">
        <f t="shared" si="39"/>
        <v>0</v>
      </c>
      <c r="K100" s="1"/>
      <c r="L100" s="1"/>
      <c r="M100" s="1"/>
      <c r="N100" s="1"/>
      <c r="O100" s="1"/>
      <c r="P100" s="29"/>
      <c r="Q100" s="47">
        <f t="shared" si="31"/>
        <v>88380000</v>
      </c>
    </row>
    <row r="101" spans="1:18" s="31" customFormat="1" ht="33" customHeight="1" x14ac:dyDescent="0.2">
      <c r="A101" s="32" t="s">
        <v>253</v>
      </c>
      <c r="B101" s="26">
        <v>3049</v>
      </c>
      <c r="C101" s="26" t="s">
        <v>117</v>
      </c>
      <c r="D101" s="27" t="s">
        <v>26</v>
      </c>
      <c r="E101" s="2">
        <f t="shared" si="47"/>
        <v>50805000</v>
      </c>
      <c r="F101" s="1">
        <v>50805000</v>
      </c>
      <c r="G101" s="1"/>
      <c r="H101" s="61"/>
      <c r="I101" s="28"/>
      <c r="J101" s="23">
        <f t="shared" si="39"/>
        <v>0</v>
      </c>
      <c r="K101" s="1"/>
      <c r="L101" s="1"/>
      <c r="M101" s="1"/>
      <c r="N101" s="1"/>
      <c r="O101" s="1"/>
      <c r="P101" s="29"/>
      <c r="Q101" s="47">
        <f t="shared" si="31"/>
        <v>50805000</v>
      </c>
    </row>
    <row r="102" spans="1:18" s="31" customFormat="1" ht="33" customHeight="1" x14ac:dyDescent="0.2">
      <c r="A102" s="32" t="s">
        <v>254</v>
      </c>
      <c r="B102" s="26">
        <v>3050</v>
      </c>
      <c r="C102" s="26" t="s">
        <v>88</v>
      </c>
      <c r="D102" s="27" t="s">
        <v>129</v>
      </c>
      <c r="E102" s="2"/>
      <c r="F102" s="1"/>
      <c r="G102" s="61"/>
      <c r="H102" s="61"/>
      <c r="I102" s="28"/>
      <c r="J102" s="23">
        <f t="shared" si="39"/>
        <v>0</v>
      </c>
      <c r="K102" s="1"/>
      <c r="L102" s="1"/>
      <c r="M102" s="1"/>
      <c r="N102" s="1"/>
      <c r="O102" s="1"/>
      <c r="P102" s="29"/>
      <c r="Q102" s="47">
        <f t="shared" si="31"/>
        <v>0</v>
      </c>
    </row>
    <row r="103" spans="1:18" s="31" customFormat="1" ht="33" customHeight="1" x14ac:dyDescent="0.2">
      <c r="A103" s="32" t="s">
        <v>255</v>
      </c>
      <c r="B103" s="26">
        <v>3080</v>
      </c>
      <c r="C103" s="26" t="s">
        <v>117</v>
      </c>
      <c r="D103" s="27" t="s">
        <v>27</v>
      </c>
      <c r="E103" s="2">
        <f>F103</f>
        <v>7045000</v>
      </c>
      <c r="F103" s="1">
        <v>7045000</v>
      </c>
      <c r="G103" s="61"/>
      <c r="H103" s="61"/>
      <c r="I103" s="28"/>
      <c r="J103" s="23">
        <f t="shared" si="39"/>
        <v>0</v>
      </c>
      <c r="K103" s="1"/>
      <c r="L103" s="1"/>
      <c r="M103" s="1"/>
      <c r="N103" s="1"/>
      <c r="O103" s="1"/>
      <c r="P103" s="29"/>
      <c r="Q103" s="47">
        <f t="shared" si="31"/>
        <v>7045000</v>
      </c>
    </row>
    <row r="104" spans="1:18" s="31" customFormat="1" ht="21.95" customHeight="1" x14ac:dyDescent="0.2">
      <c r="A104" s="32" t="s">
        <v>256</v>
      </c>
      <c r="B104" s="26">
        <v>3090</v>
      </c>
      <c r="C104" s="26" t="s">
        <v>115</v>
      </c>
      <c r="D104" s="27" t="s">
        <v>28</v>
      </c>
      <c r="E104" s="2"/>
      <c r="F104" s="1"/>
      <c r="G104" s="61"/>
      <c r="H104" s="61"/>
      <c r="I104" s="28"/>
      <c r="J104" s="23">
        <f t="shared" si="39"/>
        <v>0</v>
      </c>
      <c r="K104" s="1"/>
      <c r="L104" s="1"/>
      <c r="M104" s="1"/>
      <c r="N104" s="1"/>
      <c r="O104" s="1"/>
      <c r="P104" s="29"/>
      <c r="Q104" s="47">
        <f t="shared" si="31"/>
        <v>0</v>
      </c>
    </row>
    <row r="105" spans="1:18" s="31" customFormat="1" ht="62.25" customHeight="1" x14ac:dyDescent="0.2">
      <c r="A105" s="32" t="s">
        <v>257</v>
      </c>
      <c r="B105" s="26" t="s">
        <v>210</v>
      </c>
      <c r="C105" s="26" t="s">
        <v>117</v>
      </c>
      <c r="D105" s="27" t="s">
        <v>211</v>
      </c>
      <c r="E105" s="55">
        <v>1870200</v>
      </c>
      <c r="F105" s="56">
        <v>1870200</v>
      </c>
      <c r="G105" s="61"/>
      <c r="H105" s="61"/>
      <c r="I105" s="28"/>
      <c r="J105" s="23">
        <f t="shared" si="39"/>
        <v>0</v>
      </c>
      <c r="K105" s="1"/>
      <c r="L105" s="1"/>
      <c r="M105" s="1"/>
      <c r="N105" s="1"/>
      <c r="O105" s="1"/>
      <c r="P105" s="29"/>
      <c r="Q105" s="47">
        <f t="shared" si="31"/>
        <v>1870200</v>
      </c>
      <c r="R105" s="30"/>
    </row>
    <row r="106" spans="1:18" s="31" customFormat="1" ht="69" customHeight="1" x14ac:dyDescent="0.2">
      <c r="A106" s="32" t="s">
        <v>258</v>
      </c>
      <c r="B106" s="26" t="s">
        <v>212</v>
      </c>
      <c r="C106" s="26" t="s">
        <v>116</v>
      </c>
      <c r="D106" s="27" t="s">
        <v>463</v>
      </c>
      <c r="E106" s="2">
        <v>8300000</v>
      </c>
      <c r="F106" s="1">
        <v>8300000</v>
      </c>
      <c r="G106" s="61"/>
      <c r="H106" s="61"/>
      <c r="I106" s="28"/>
      <c r="J106" s="23">
        <f t="shared" si="39"/>
        <v>0</v>
      </c>
      <c r="K106" s="1"/>
      <c r="L106" s="1"/>
      <c r="M106" s="1"/>
      <c r="N106" s="1"/>
      <c r="O106" s="1"/>
      <c r="P106" s="29"/>
      <c r="Q106" s="47">
        <f t="shared" si="31"/>
        <v>8300000</v>
      </c>
      <c r="R106" s="30"/>
    </row>
    <row r="107" spans="1:18" s="31" customFormat="1" ht="21.95" customHeight="1" x14ac:dyDescent="0.2">
      <c r="A107" s="32" t="s">
        <v>259</v>
      </c>
      <c r="B107" s="26" t="s">
        <v>213</v>
      </c>
      <c r="C107" s="26" t="s">
        <v>115</v>
      </c>
      <c r="D107" s="27" t="s">
        <v>214</v>
      </c>
      <c r="E107" s="2">
        <v>250000</v>
      </c>
      <c r="F107" s="1">
        <v>250000</v>
      </c>
      <c r="G107" s="61"/>
      <c r="H107" s="61"/>
      <c r="I107" s="28"/>
      <c r="J107" s="23">
        <f t="shared" si="39"/>
        <v>0</v>
      </c>
      <c r="K107" s="1"/>
      <c r="L107" s="1"/>
      <c r="M107" s="1"/>
      <c r="N107" s="1"/>
      <c r="O107" s="1"/>
      <c r="P107" s="29"/>
      <c r="Q107" s="47">
        <f t="shared" si="31"/>
        <v>250000</v>
      </c>
      <c r="R107" s="30"/>
    </row>
    <row r="108" spans="1:18" s="31" customFormat="1" ht="21.95" customHeight="1" x14ac:dyDescent="0.2">
      <c r="A108" s="32" t="s">
        <v>260</v>
      </c>
      <c r="B108" s="26" t="s">
        <v>261</v>
      </c>
      <c r="C108" s="26" t="s">
        <v>119</v>
      </c>
      <c r="D108" s="27" t="s">
        <v>262</v>
      </c>
      <c r="E108" s="2">
        <f>E110+E111+E112+E113+E114</f>
        <v>10064700</v>
      </c>
      <c r="F108" s="1">
        <f>F110+F111+F112+F113+F114</f>
        <v>10064700</v>
      </c>
      <c r="G108" s="61">
        <v>1204500</v>
      </c>
      <c r="H108" s="61">
        <v>145700</v>
      </c>
      <c r="I108" s="28"/>
      <c r="J108" s="23">
        <f t="shared" si="39"/>
        <v>0</v>
      </c>
      <c r="K108" s="1"/>
      <c r="L108" s="1"/>
      <c r="M108" s="1"/>
      <c r="N108" s="1"/>
      <c r="O108" s="1"/>
      <c r="P108" s="29"/>
      <c r="Q108" s="47">
        <f t="shared" si="31"/>
        <v>10064700</v>
      </c>
      <c r="R108" s="30"/>
    </row>
    <row r="109" spans="1:18" s="31" customFormat="1" ht="19.5" customHeight="1" x14ac:dyDescent="0.2">
      <c r="A109" s="32"/>
      <c r="B109" s="26"/>
      <c r="C109" s="26"/>
      <c r="D109" s="64" t="s">
        <v>397</v>
      </c>
      <c r="E109" s="2"/>
      <c r="F109" s="1"/>
      <c r="G109" s="61"/>
      <c r="H109" s="61"/>
      <c r="I109" s="28"/>
      <c r="J109" s="23"/>
      <c r="K109" s="1"/>
      <c r="L109" s="1"/>
      <c r="M109" s="1"/>
      <c r="N109" s="1"/>
      <c r="O109" s="1"/>
      <c r="P109" s="29"/>
      <c r="Q109" s="47">
        <f t="shared" si="31"/>
        <v>0</v>
      </c>
    </row>
    <row r="110" spans="1:18" s="31" customFormat="1" ht="15" customHeight="1" x14ac:dyDescent="0.2">
      <c r="A110" s="32"/>
      <c r="B110" s="26"/>
      <c r="C110" s="26"/>
      <c r="D110" s="64" t="s">
        <v>393</v>
      </c>
      <c r="E110" s="2"/>
      <c r="F110" s="1"/>
      <c r="G110" s="61"/>
      <c r="H110" s="61"/>
      <c r="I110" s="28"/>
      <c r="J110" s="23"/>
      <c r="K110" s="1"/>
      <c r="L110" s="1"/>
      <c r="M110" s="1"/>
      <c r="N110" s="1"/>
      <c r="O110" s="1"/>
      <c r="P110" s="29"/>
      <c r="Q110" s="47">
        <f t="shared" si="31"/>
        <v>0</v>
      </c>
    </row>
    <row r="111" spans="1:18" s="31" customFormat="1" ht="15" customHeight="1" x14ac:dyDescent="0.2">
      <c r="A111" s="32"/>
      <c r="B111" s="26"/>
      <c r="C111" s="26"/>
      <c r="D111" s="64" t="s">
        <v>398</v>
      </c>
      <c r="E111" s="2">
        <v>7700000</v>
      </c>
      <c r="F111" s="1">
        <v>7700000</v>
      </c>
      <c r="G111" s="61"/>
      <c r="H111" s="61"/>
      <c r="I111" s="28"/>
      <c r="J111" s="23"/>
      <c r="K111" s="1"/>
      <c r="L111" s="1"/>
      <c r="M111" s="1"/>
      <c r="N111" s="1"/>
      <c r="O111" s="1"/>
      <c r="P111" s="29"/>
      <c r="Q111" s="47">
        <f t="shared" si="31"/>
        <v>7700000</v>
      </c>
    </row>
    <row r="112" spans="1:18" s="31" customFormat="1" ht="15.75" customHeight="1" x14ac:dyDescent="0.2">
      <c r="A112" s="32"/>
      <c r="B112" s="26"/>
      <c r="C112" s="26"/>
      <c r="D112" s="64" t="s">
        <v>394</v>
      </c>
      <c r="E112" s="2">
        <v>450000</v>
      </c>
      <c r="F112" s="1">
        <v>450000</v>
      </c>
      <c r="G112" s="61"/>
      <c r="H112" s="61"/>
      <c r="I112" s="28"/>
      <c r="J112" s="23"/>
      <c r="K112" s="1"/>
      <c r="L112" s="1"/>
      <c r="M112" s="1"/>
      <c r="N112" s="1"/>
      <c r="O112" s="1"/>
      <c r="P112" s="29"/>
      <c r="Q112" s="47">
        <f t="shared" si="31"/>
        <v>450000</v>
      </c>
    </row>
    <row r="113" spans="1:20" s="31" customFormat="1" ht="21.75" customHeight="1" x14ac:dyDescent="0.2">
      <c r="A113" s="32"/>
      <c r="B113" s="26"/>
      <c r="C113" s="26"/>
      <c r="D113" s="64" t="s">
        <v>395</v>
      </c>
      <c r="E113" s="2">
        <v>795200</v>
      </c>
      <c r="F113" s="1">
        <v>795200</v>
      </c>
      <c r="G113" s="61">
        <v>417300</v>
      </c>
      <c r="H113" s="61">
        <v>60800</v>
      </c>
      <c r="I113" s="28"/>
      <c r="J113" s="23"/>
      <c r="K113" s="1"/>
      <c r="L113" s="1"/>
      <c r="M113" s="1"/>
      <c r="N113" s="1"/>
      <c r="O113" s="1"/>
      <c r="P113" s="29"/>
      <c r="Q113" s="47">
        <f t="shared" si="31"/>
        <v>795200</v>
      </c>
    </row>
    <row r="114" spans="1:20" s="31" customFormat="1" ht="18" customHeight="1" x14ac:dyDescent="0.2">
      <c r="A114" s="32"/>
      <c r="B114" s="26"/>
      <c r="C114" s="26"/>
      <c r="D114" s="64" t="s">
        <v>396</v>
      </c>
      <c r="E114" s="2">
        <v>1119500</v>
      </c>
      <c r="F114" s="1">
        <v>1119500</v>
      </c>
      <c r="G114" s="61">
        <v>787200</v>
      </c>
      <c r="H114" s="61">
        <v>84900</v>
      </c>
      <c r="I114" s="28"/>
      <c r="J114" s="23"/>
      <c r="K114" s="1"/>
      <c r="L114" s="1"/>
      <c r="M114" s="1"/>
      <c r="N114" s="1"/>
      <c r="O114" s="1"/>
      <c r="P114" s="29"/>
      <c r="Q114" s="47">
        <f t="shared" si="31"/>
        <v>1119500</v>
      </c>
    </row>
    <row r="115" spans="1:20" s="31" customFormat="1" ht="56.1" customHeight="1" x14ac:dyDescent="0.2">
      <c r="A115" s="32" t="s">
        <v>263</v>
      </c>
      <c r="B115" s="26">
        <v>3104</v>
      </c>
      <c r="C115" s="26" t="s">
        <v>118</v>
      </c>
      <c r="D115" s="27" t="s">
        <v>29</v>
      </c>
      <c r="E115" s="55">
        <f>4701800+100000</f>
        <v>4801800</v>
      </c>
      <c r="F115" s="56">
        <f>4701800+100000</f>
        <v>4801800</v>
      </c>
      <c r="G115" s="61">
        <v>3540000</v>
      </c>
      <c r="H115" s="61">
        <v>80800</v>
      </c>
      <c r="I115" s="28"/>
      <c r="J115" s="23">
        <f t="shared" si="39"/>
        <v>0</v>
      </c>
      <c r="K115" s="1"/>
      <c r="L115" s="1"/>
      <c r="M115" s="1"/>
      <c r="N115" s="1"/>
      <c r="O115" s="1"/>
      <c r="P115" s="29"/>
      <c r="Q115" s="47">
        <f t="shared" si="31"/>
        <v>4801800</v>
      </c>
      <c r="R115" s="30"/>
    </row>
    <row r="116" spans="1:20" s="31" customFormat="1" ht="21.95" customHeight="1" x14ac:dyDescent="0.2">
      <c r="A116" s="32" t="s">
        <v>264</v>
      </c>
      <c r="B116" s="26" t="s">
        <v>215</v>
      </c>
      <c r="C116" s="26" t="s">
        <v>104</v>
      </c>
      <c r="D116" s="27" t="s">
        <v>216</v>
      </c>
      <c r="E116" s="55">
        <v>2235400</v>
      </c>
      <c r="F116" s="56">
        <v>2235400</v>
      </c>
      <c r="G116" s="61">
        <v>1406200</v>
      </c>
      <c r="H116" s="61">
        <v>107500</v>
      </c>
      <c r="I116" s="28"/>
      <c r="J116" s="23">
        <f t="shared" si="39"/>
        <v>0</v>
      </c>
      <c r="K116" s="1"/>
      <c r="L116" s="1"/>
      <c r="M116" s="1"/>
      <c r="N116" s="1"/>
      <c r="O116" s="1"/>
      <c r="P116" s="29"/>
      <c r="Q116" s="47">
        <f t="shared" si="31"/>
        <v>2235400</v>
      </c>
      <c r="R116" s="30"/>
    </row>
    <row r="117" spans="1:20" s="31" customFormat="1" ht="24.75" customHeight="1" x14ac:dyDescent="0.2">
      <c r="A117" s="32"/>
      <c r="B117" s="26"/>
      <c r="C117" s="26"/>
      <c r="D117" s="64" t="s">
        <v>399</v>
      </c>
      <c r="E117" s="55">
        <v>311800</v>
      </c>
      <c r="F117" s="56">
        <v>311800</v>
      </c>
      <c r="G117" s="61">
        <v>34800</v>
      </c>
      <c r="H117" s="61"/>
      <c r="I117" s="28"/>
      <c r="J117" s="23"/>
      <c r="K117" s="1"/>
      <c r="L117" s="1"/>
      <c r="M117" s="1"/>
      <c r="N117" s="1"/>
      <c r="O117" s="1"/>
      <c r="P117" s="29"/>
      <c r="Q117" s="47">
        <f t="shared" si="31"/>
        <v>311800</v>
      </c>
      <c r="R117" s="30"/>
    </row>
    <row r="118" spans="1:20" s="31" customFormat="1" ht="79.5" customHeight="1" x14ac:dyDescent="0.2">
      <c r="A118" s="32" t="s">
        <v>273</v>
      </c>
      <c r="B118" s="26" t="s">
        <v>165</v>
      </c>
      <c r="C118" s="26" t="s">
        <v>91</v>
      </c>
      <c r="D118" s="27" t="s">
        <v>166</v>
      </c>
      <c r="E118" s="2"/>
      <c r="F118" s="1"/>
      <c r="G118" s="61"/>
      <c r="H118" s="61"/>
      <c r="I118" s="28"/>
      <c r="J118" s="23">
        <f t="shared" si="39"/>
        <v>500000</v>
      </c>
      <c r="K118" s="1">
        <v>500000</v>
      </c>
      <c r="L118" s="1"/>
      <c r="M118" s="1"/>
      <c r="N118" s="1"/>
      <c r="O118" s="1"/>
      <c r="P118" s="29"/>
      <c r="Q118" s="25">
        <f>F118+J118</f>
        <v>500000</v>
      </c>
    </row>
    <row r="119" spans="1:20" s="31" customFormat="1" ht="30" hidden="1" customHeight="1" x14ac:dyDescent="0.2">
      <c r="A119" s="32">
        <v>1516324</v>
      </c>
      <c r="B119" s="26" t="s">
        <v>125</v>
      </c>
      <c r="C119" s="26" t="s">
        <v>116</v>
      </c>
      <c r="D119" s="27" t="s">
        <v>126</v>
      </c>
      <c r="E119" s="2"/>
      <c r="F119" s="1"/>
      <c r="G119" s="61"/>
      <c r="H119" s="61"/>
      <c r="I119" s="28"/>
      <c r="J119" s="23">
        <f t="shared" si="39"/>
        <v>0</v>
      </c>
      <c r="K119" s="1"/>
      <c r="L119" s="1"/>
      <c r="M119" s="1"/>
      <c r="N119" s="1"/>
      <c r="O119" s="1"/>
      <c r="P119" s="29"/>
      <c r="Q119" s="47">
        <f t="shared" si="31"/>
        <v>0</v>
      </c>
      <c r="R119" s="30"/>
      <c r="T119" s="30"/>
    </row>
    <row r="120" spans="1:20" s="16" customFormat="1" ht="21.95" customHeight="1" x14ac:dyDescent="0.2">
      <c r="A120" s="40" t="s">
        <v>228</v>
      </c>
      <c r="B120" s="18"/>
      <c r="C120" s="18"/>
      <c r="D120" s="19" t="s">
        <v>30</v>
      </c>
      <c r="E120" s="20">
        <f>E122+E123</f>
        <v>2610000</v>
      </c>
      <c r="F120" s="21">
        <f>F122+F123</f>
        <v>2610000</v>
      </c>
      <c r="G120" s="63">
        <f t="shared" ref="G120:P120" si="49">G122+G123</f>
        <v>2060000</v>
      </c>
      <c r="H120" s="63">
        <f t="shared" si="49"/>
        <v>17000</v>
      </c>
      <c r="I120" s="22">
        <f>I122+I123</f>
        <v>0</v>
      </c>
      <c r="J120" s="39">
        <f t="shared" si="39"/>
        <v>190000</v>
      </c>
      <c r="K120" s="21">
        <f t="shared" si="49"/>
        <v>190000</v>
      </c>
      <c r="L120" s="21">
        <f t="shared" si="49"/>
        <v>0</v>
      </c>
      <c r="M120" s="21">
        <f t="shared" si="49"/>
        <v>0</v>
      </c>
      <c r="N120" s="21">
        <f t="shared" si="49"/>
        <v>0</v>
      </c>
      <c r="O120" s="21">
        <f t="shared" si="49"/>
        <v>0</v>
      </c>
      <c r="P120" s="24">
        <f t="shared" si="49"/>
        <v>0</v>
      </c>
      <c r="Q120" s="25">
        <f>F120+J120</f>
        <v>2800000</v>
      </c>
      <c r="R120" s="15"/>
    </row>
    <row r="121" spans="1:20" s="16" customFormat="1" ht="21.95" customHeight="1" x14ac:dyDescent="0.2">
      <c r="A121" s="40" t="s">
        <v>292</v>
      </c>
      <c r="B121" s="18"/>
      <c r="C121" s="18"/>
      <c r="D121" s="19" t="s">
        <v>30</v>
      </c>
      <c r="E121" s="20"/>
      <c r="F121" s="21"/>
      <c r="G121" s="63"/>
      <c r="H121" s="63"/>
      <c r="I121" s="22"/>
      <c r="J121" s="23"/>
      <c r="K121" s="21"/>
      <c r="L121" s="21"/>
      <c r="M121" s="21"/>
      <c r="N121" s="21"/>
      <c r="O121" s="21"/>
      <c r="P121" s="24"/>
      <c r="Q121" s="47"/>
    </row>
    <row r="122" spans="1:20" s="31" customFormat="1" ht="16.5" customHeight="1" x14ac:dyDescent="0.2">
      <c r="A122" s="32" t="s">
        <v>293</v>
      </c>
      <c r="B122" s="26" t="s">
        <v>144</v>
      </c>
      <c r="C122" s="26" t="s">
        <v>79</v>
      </c>
      <c r="D122" s="27" t="s">
        <v>48</v>
      </c>
      <c r="E122" s="2">
        <v>2610000</v>
      </c>
      <c r="F122" s="1">
        <v>2610000</v>
      </c>
      <c r="G122" s="1">
        <v>2060000</v>
      </c>
      <c r="H122" s="1">
        <v>17000</v>
      </c>
      <c r="I122" s="28"/>
      <c r="J122" s="23">
        <f t="shared" si="39"/>
        <v>0</v>
      </c>
      <c r="K122" s="1"/>
      <c r="L122" s="1"/>
      <c r="M122" s="1"/>
      <c r="N122" s="1"/>
      <c r="O122" s="1"/>
      <c r="P122" s="29"/>
      <c r="Q122" s="47">
        <f>F122+J122</f>
        <v>2610000</v>
      </c>
    </row>
    <row r="123" spans="1:20" s="31" customFormat="1" ht="78.75" customHeight="1" x14ac:dyDescent="0.2">
      <c r="A123" s="32" t="s">
        <v>294</v>
      </c>
      <c r="B123" s="26" t="s">
        <v>165</v>
      </c>
      <c r="C123" s="26" t="s">
        <v>91</v>
      </c>
      <c r="D123" s="27" t="s">
        <v>166</v>
      </c>
      <c r="E123" s="2"/>
      <c r="F123" s="1"/>
      <c r="G123" s="61"/>
      <c r="H123" s="61"/>
      <c r="I123" s="28"/>
      <c r="J123" s="23">
        <f t="shared" si="39"/>
        <v>190000</v>
      </c>
      <c r="K123" s="1">
        <v>190000</v>
      </c>
      <c r="L123" s="1"/>
      <c r="M123" s="1"/>
      <c r="N123" s="1"/>
      <c r="O123" s="1"/>
      <c r="P123" s="29"/>
      <c r="Q123" s="47">
        <f>F123+J123</f>
        <v>190000</v>
      </c>
    </row>
    <row r="124" spans="1:20" s="16" customFormat="1" ht="21" customHeight="1" x14ac:dyDescent="0.2">
      <c r="A124" s="40" t="s">
        <v>229</v>
      </c>
      <c r="B124" s="18"/>
      <c r="C124" s="18"/>
      <c r="D124" s="65" t="s">
        <v>87</v>
      </c>
      <c r="E124" s="20">
        <f>E126+E129+E130+E131+E136+E128+E127+E135</f>
        <v>68910500</v>
      </c>
      <c r="F124" s="21">
        <f t="shared" ref="F124:P124" si="50">F126+F129+F130+F131+F136+F128+F127+F135</f>
        <v>68910500</v>
      </c>
      <c r="G124" s="21">
        <f t="shared" si="50"/>
        <v>41898000</v>
      </c>
      <c r="H124" s="21">
        <f t="shared" si="50"/>
        <v>3186200</v>
      </c>
      <c r="I124" s="38">
        <f t="shared" si="50"/>
        <v>0</v>
      </c>
      <c r="J124" s="39">
        <f t="shared" si="50"/>
        <v>11242000</v>
      </c>
      <c r="K124" s="21">
        <f t="shared" si="50"/>
        <v>2444000</v>
      </c>
      <c r="L124" s="21">
        <f t="shared" si="50"/>
        <v>1605100</v>
      </c>
      <c r="M124" s="21">
        <f t="shared" si="50"/>
        <v>95000</v>
      </c>
      <c r="N124" s="21">
        <f t="shared" si="50"/>
        <v>8798000</v>
      </c>
      <c r="O124" s="21">
        <f t="shared" si="50"/>
        <v>8600000</v>
      </c>
      <c r="P124" s="24">
        <f t="shared" si="50"/>
        <v>8600000</v>
      </c>
      <c r="Q124" s="25">
        <f>Q126+Q129+Q130+Q131+Q136+Q128+Q127+Q135</f>
        <v>80152500</v>
      </c>
      <c r="R124" s="15"/>
    </row>
    <row r="125" spans="1:20" s="16" customFormat="1" ht="16.5" customHeight="1" x14ac:dyDescent="0.2">
      <c r="A125" s="40" t="s">
        <v>295</v>
      </c>
      <c r="B125" s="18"/>
      <c r="C125" s="18"/>
      <c r="D125" s="65" t="s">
        <v>87</v>
      </c>
      <c r="E125" s="20"/>
      <c r="F125" s="21"/>
      <c r="G125" s="21"/>
      <c r="H125" s="21"/>
      <c r="I125" s="22"/>
      <c r="J125" s="23"/>
      <c r="K125" s="21"/>
      <c r="L125" s="21"/>
      <c r="M125" s="21"/>
      <c r="N125" s="21"/>
      <c r="O125" s="21"/>
      <c r="P125" s="24"/>
      <c r="Q125" s="47"/>
    </row>
    <row r="126" spans="1:20" s="31" customFormat="1" ht="18" customHeight="1" x14ac:dyDescent="0.2">
      <c r="A126" s="32" t="s">
        <v>296</v>
      </c>
      <c r="B126" s="26" t="s">
        <v>144</v>
      </c>
      <c r="C126" s="26" t="s">
        <v>79</v>
      </c>
      <c r="D126" s="27" t="s">
        <v>49</v>
      </c>
      <c r="E126" s="2">
        <v>2222000</v>
      </c>
      <c r="F126" s="1">
        <v>2222000</v>
      </c>
      <c r="G126" s="1">
        <v>1698000</v>
      </c>
      <c r="H126" s="1">
        <v>49000</v>
      </c>
      <c r="I126" s="28"/>
      <c r="J126" s="23">
        <f>K126+N126</f>
        <v>0</v>
      </c>
      <c r="K126" s="1"/>
      <c r="L126" s="1"/>
      <c r="M126" s="1"/>
      <c r="N126" s="1"/>
      <c r="O126" s="1"/>
      <c r="P126" s="29"/>
      <c r="Q126" s="47">
        <f>F126+J126</f>
        <v>2222000</v>
      </c>
    </row>
    <row r="127" spans="1:20" s="31" customFormat="1" ht="49.5" customHeight="1" x14ac:dyDescent="0.2">
      <c r="A127" s="32" t="s">
        <v>300</v>
      </c>
      <c r="B127" s="26" t="s">
        <v>159</v>
      </c>
      <c r="C127" s="26" t="s">
        <v>101</v>
      </c>
      <c r="D127" s="27" t="s">
        <v>160</v>
      </c>
      <c r="E127" s="2">
        <v>35654600</v>
      </c>
      <c r="F127" s="1">
        <v>35654600</v>
      </c>
      <c r="G127" s="1">
        <v>27700000</v>
      </c>
      <c r="H127" s="1">
        <v>1181600</v>
      </c>
      <c r="I127" s="28"/>
      <c r="J127" s="23">
        <f t="shared" ref="J127" si="51">K127+N127</f>
        <v>2125000</v>
      </c>
      <c r="K127" s="1">
        <v>2125000</v>
      </c>
      <c r="L127" s="1">
        <v>1585100</v>
      </c>
      <c r="M127" s="1">
        <v>85000</v>
      </c>
      <c r="N127" s="1"/>
      <c r="O127" s="1"/>
      <c r="P127" s="29"/>
      <c r="Q127" s="47">
        <f>F127+J127</f>
        <v>37779600</v>
      </c>
    </row>
    <row r="128" spans="1:20" s="31" customFormat="1" ht="15.75" customHeight="1" x14ac:dyDescent="0.2">
      <c r="A128" s="32" t="s">
        <v>297</v>
      </c>
      <c r="B128" s="26" t="s">
        <v>154</v>
      </c>
      <c r="C128" s="26" t="s">
        <v>121</v>
      </c>
      <c r="D128" s="27" t="s">
        <v>155</v>
      </c>
      <c r="E128" s="2">
        <v>1000000</v>
      </c>
      <c r="F128" s="1">
        <v>1000000</v>
      </c>
      <c r="G128" s="1"/>
      <c r="H128" s="1"/>
      <c r="I128" s="28"/>
      <c r="J128" s="23"/>
      <c r="K128" s="1"/>
      <c r="L128" s="1"/>
      <c r="M128" s="1"/>
      <c r="N128" s="1"/>
      <c r="O128" s="1"/>
      <c r="P128" s="29"/>
      <c r="Q128" s="47">
        <f>F128+J128</f>
        <v>1000000</v>
      </c>
    </row>
    <row r="129" spans="1:18" s="31" customFormat="1" ht="16.5" customHeight="1" x14ac:dyDescent="0.2">
      <c r="A129" s="32" t="s">
        <v>298</v>
      </c>
      <c r="B129" s="26" t="s">
        <v>156</v>
      </c>
      <c r="C129" s="26" t="s">
        <v>111</v>
      </c>
      <c r="D129" s="27" t="s">
        <v>157</v>
      </c>
      <c r="E129" s="2">
        <v>9385700</v>
      </c>
      <c r="F129" s="1">
        <v>9385700</v>
      </c>
      <c r="G129" s="1">
        <v>6400000</v>
      </c>
      <c r="H129" s="1">
        <v>869700</v>
      </c>
      <c r="I129" s="28"/>
      <c r="J129" s="23">
        <f t="shared" si="39"/>
        <v>6000</v>
      </c>
      <c r="K129" s="1">
        <v>6000</v>
      </c>
      <c r="L129" s="1"/>
      <c r="M129" s="1"/>
      <c r="N129" s="1"/>
      <c r="O129" s="1"/>
      <c r="P129" s="29"/>
      <c r="Q129" s="47">
        <f t="shared" ref="Q129:Q134" si="52">F129+J129</f>
        <v>9391700</v>
      </c>
    </row>
    <row r="130" spans="1:18" s="31" customFormat="1" ht="35.25" customHeight="1" x14ac:dyDescent="0.2">
      <c r="A130" s="32" t="s">
        <v>299</v>
      </c>
      <c r="B130" s="26" t="s">
        <v>110</v>
      </c>
      <c r="C130" s="26" t="s">
        <v>112</v>
      </c>
      <c r="D130" s="27" t="s">
        <v>158</v>
      </c>
      <c r="E130" s="2">
        <v>7520900</v>
      </c>
      <c r="F130" s="1">
        <v>7520900</v>
      </c>
      <c r="G130" s="1">
        <v>4700000</v>
      </c>
      <c r="H130" s="1">
        <v>996100</v>
      </c>
      <c r="I130" s="28"/>
      <c r="J130" s="23">
        <f t="shared" si="39"/>
        <v>8645000</v>
      </c>
      <c r="K130" s="1">
        <v>45000</v>
      </c>
      <c r="L130" s="1">
        <v>20000</v>
      </c>
      <c r="M130" s="1">
        <v>10000</v>
      </c>
      <c r="N130" s="1">
        <f>8600000</f>
        <v>8600000</v>
      </c>
      <c r="O130" s="1">
        <f t="shared" ref="O130:P130" si="53">8600000</f>
        <v>8600000</v>
      </c>
      <c r="P130" s="29">
        <f t="shared" si="53"/>
        <v>8600000</v>
      </c>
      <c r="Q130" s="47">
        <f t="shared" si="52"/>
        <v>16165900</v>
      </c>
    </row>
    <row r="131" spans="1:18" s="31" customFormat="1" ht="24" customHeight="1" x14ac:dyDescent="0.2">
      <c r="A131" s="32" t="s">
        <v>301</v>
      </c>
      <c r="B131" s="26" t="s">
        <v>161</v>
      </c>
      <c r="C131" s="26" t="s">
        <v>113</v>
      </c>
      <c r="D131" s="27" t="s">
        <v>162</v>
      </c>
      <c r="E131" s="2">
        <f>1930300+4100000+4597000</f>
        <v>10627300</v>
      </c>
      <c r="F131" s="1">
        <f>1930300+4100000+4597000</f>
        <v>10627300</v>
      </c>
      <c r="G131" s="1">
        <v>1400000</v>
      </c>
      <c r="H131" s="1">
        <v>89800</v>
      </c>
      <c r="I131" s="28"/>
      <c r="J131" s="23">
        <f t="shared" si="39"/>
        <v>0</v>
      </c>
      <c r="K131" s="1"/>
      <c r="L131" s="1"/>
      <c r="M131" s="1"/>
      <c r="N131" s="1"/>
      <c r="O131" s="1"/>
      <c r="P131" s="29"/>
      <c r="Q131" s="47">
        <f t="shared" si="52"/>
        <v>10627300</v>
      </c>
    </row>
    <row r="132" spans="1:18" s="31" customFormat="1" ht="12.75" customHeight="1" x14ac:dyDescent="0.2">
      <c r="A132" s="32"/>
      <c r="B132" s="26"/>
      <c r="C132" s="26"/>
      <c r="D132" s="27" t="s">
        <v>137</v>
      </c>
      <c r="E132" s="2"/>
      <c r="F132" s="1"/>
      <c r="G132" s="1"/>
      <c r="H132" s="1"/>
      <c r="I132" s="28"/>
      <c r="J132" s="23"/>
      <c r="K132" s="1"/>
      <c r="L132" s="1"/>
      <c r="M132" s="1"/>
      <c r="N132" s="1"/>
      <c r="O132" s="1"/>
      <c r="P132" s="29"/>
      <c r="Q132" s="47"/>
    </row>
    <row r="133" spans="1:18" s="31" customFormat="1" ht="15.75" customHeight="1" x14ac:dyDescent="0.2">
      <c r="A133" s="32"/>
      <c r="B133" s="26"/>
      <c r="C133" s="26"/>
      <c r="D133" s="27" t="s">
        <v>138</v>
      </c>
      <c r="E133" s="2">
        <v>4100000</v>
      </c>
      <c r="F133" s="1">
        <v>4100000</v>
      </c>
      <c r="G133" s="1"/>
      <c r="H133" s="1"/>
      <c r="I133" s="28"/>
      <c r="J133" s="23"/>
      <c r="K133" s="1"/>
      <c r="L133" s="1"/>
      <c r="M133" s="1"/>
      <c r="N133" s="1"/>
      <c r="O133" s="1"/>
      <c r="P133" s="29"/>
      <c r="Q133" s="47">
        <f t="shared" si="52"/>
        <v>4100000</v>
      </c>
    </row>
    <row r="134" spans="1:18" s="31" customFormat="1" ht="23.25" customHeight="1" x14ac:dyDescent="0.2">
      <c r="A134" s="32"/>
      <c r="B134" s="26"/>
      <c r="C134" s="26"/>
      <c r="D134" s="27" t="s">
        <v>139</v>
      </c>
      <c r="E134" s="2">
        <v>4500000</v>
      </c>
      <c r="F134" s="1">
        <v>4500000</v>
      </c>
      <c r="G134" s="1"/>
      <c r="H134" s="1"/>
      <c r="I134" s="28"/>
      <c r="J134" s="23"/>
      <c r="K134" s="1"/>
      <c r="L134" s="1"/>
      <c r="M134" s="1"/>
      <c r="N134" s="1"/>
      <c r="O134" s="1"/>
      <c r="P134" s="29"/>
      <c r="Q134" s="47">
        <f t="shared" si="52"/>
        <v>4500000</v>
      </c>
    </row>
    <row r="135" spans="1:18" s="31" customFormat="1" ht="83.25" customHeight="1" x14ac:dyDescent="0.2">
      <c r="A135" s="32" t="s">
        <v>303</v>
      </c>
      <c r="B135" s="26" t="s">
        <v>165</v>
      </c>
      <c r="C135" s="26" t="s">
        <v>91</v>
      </c>
      <c r="D135" s="27" t="s">
        <v>166</v>
      </c>
      <c r="E135" s="2"/>
      <c r="F135" s="1"/>
      <c r="G135" s="1"/>
      <c r="H135" s="1"/>
      <c r="I135" s="28"/>
      <c r="J135" s="23">
        <f>K135+N135</f>
        <v>466000</v>
      </c>
      <c r="K135" s="1">
        <f>198000+70000</f>
        <v>268000</v>
      </c>
      <c r="L135" s="1"/>
      <c r="M135" s="1"/>
      <c r="N135" s="1">
        <f>198000</f>
        <v>198000</v>
      </c>
      <c r="O135" s="1"/>
      <c r="P135" s="29"/>
      <c r="Q135" s="47">
        <f>F135+J135</f>
        <v>466000</v>
      </c>
    </row>
    <row r="136" spans="1:18" s="31" customFormat="1" ht="22.5" x14ac:dyDescent="0.2">
      <c r="A136" s="32" t="s">
        <v>302</v>
      </c>
      <c r="B136" s="26" t="s">
        <v>163</v>
      </c>
      <c r="C136" s="26" t="s">
        <v>114</v>
      </c>
      <c r="D136" s="27" t="s">
        <v>164</v>
      </c>
      <c r="E136" s="2">
        <v>2500000</v>
      </c>
      <c r="F136" s="1">
        <v>2500000</v>
      </c>
      <c r="G136" s="1"/>
      <c r="H136" s="1"/>
      <c r="I136" s="28"/>
      <c r="J136" s="23">
        <f t="shared" si="39"/>
        <v>0</v>
      </c>
      <c r="K136" s="1"/>
      <c r="L136" s="1"/>
      <c r="M136" s="1"/>
      <c r="N136" s="1"/>
      <c r="O136" s="1"/>
      <c r="P136" s="29"/>
      <c r="Q136" s="47">
        <f>F136+J136</f>
        <v>2500000</v>
      </c>
    </row>
    <row r="137" spans="1:18" s="16" customFormat="1" ht="26.25" customHeight="1" x14ac:dyDescent="0.2">
      <c r="A137" s="66">
        <v>1100000</v>
      </c>
      <c r="B137" s="18"/>
      <c r="C137" s="18"/>
      <c r="D137" s="37" t="s">
        <v>80</v>
      </c>
      <c r="E137" s="21">
        <f>E139+E140+E141+E142+E143+E144+E145+E146+E147</f>
        <v>14364500</v>
      </c>
      <c r="F137" s="21">
        <f>F139+F140+F141+F142+F143+F144+F146+F147+F145</f>
        <v>14364500</v>
      </c>
      <c r="G137" s="21">
        <f t="shared" ref="G137:Q137" si="54">G139+G140+G141+G142+G143+G144+G146+G147+G145</f>
        <v>2255000</v>
      </c>
      <c r="H137" s="21">
        <f t="shared" si="54"/>
        <v>56500</v>
      </c>
      <c r="I137" s="21">
        <f t="shared" si="54"/>
        <v>0</v>
      </c>
      <c r="J137" s="21">
        <f t="shared" si="54"/>
        <v>500000</v>
      </c>
      <c r="K137" s="21">
        <f t="shared" si="54"/>
        <v>0</v>
      </c>
      <c r="L137" s="21">
        <f t="shared" si="54"/>
        <v>0</v>
      </c>
      <c r="M137" s="21">
        <f t="shared" si="54"/>
        <v>0</v>
      </c>
      <c r="N137" s="21">
        <f t="shared" si="54"/>
        <v>500000</v>
      </c>
      <c r="O137" s="21">
        <f t="shared" si="54"/>
        <v>500000</v>
      </c>
      <c r="P137" s="21">
        <f t="shared" si="54"/>
        <v>500000</v>
      </c>
      <c r="Q137" s="21">
        <f t="shared" si="54"/>
        <v>14864500</v>
      </c>
      <c r="R137" s="15"/>
    </row>
    <row r="138" spans="1:18" s="16" customFormat="1" ht="27.75" customHeight="1" x14ac:dyDescent="0.2">
      <c r="A138" s="66">
        <v>1110000</v>
      </c>
      <c r="B138" s="18"/>
      <c r="C138" s="18"/>
      <c r="D138" s="37" t="s">
        <v>80</v>
      </c>
      <c r="E138" s="20"/>
      <c r="F138" s="21"/>
      <c r="G138" s="21"/>
      <c r="H138" s="21"/>
      <c r="I138" s="22"/>
      <c r="J138" s="23"/>
      <c r="K138" s="21"/>
      <c r="L138" s="21"/>
      <c r="M138" s="21"/>
      <c r="N138" s="21"/>
      <c r="O138" s="21"/>
      <c r="P138" s="24"/>
      <c r="Q138" s="25"/>
    </row>
    <row r="139" spans="1:18" s="31" customFormat="1" ht="27.75" customHeight="1" x14ac:dyDescent="0.2">
      <c r="A139" s="67">
        <v>1110160</v>
      </c>
      <c r="B139" s="26" t="s">
        <v>144</v>
      </c>
      <c r="C139" s="26" t="s">
        <v>79</v>
      </c>
      <c r="D139" s="27" t="s">
        <v>82</v>
      </c>
      <c r="E139" s="2">
        <f t="shared" ref="E139:E146" si="55">F139</f>
        <v>2318000</v>
      </c>
      <c r="F139" s="1">
        <v>2318000</v>
      </c>
      <c r="G139" s="1">
        <v>1812000</v>
      </c>
      <c r="H139" s="1">
        <v>43000</v>
      </c>
      <c r="I139" s="28"/>
      <c r="J139" s="23">
        <f t="shared" ref="J139:J140" si="56">K139+N139</f>
        <v>0</v>
      </c>
      <c r="K139" s="1"/>
      <c r="L139" s="1"/>
      <c r="M139" s="1"/>
      <c r="N139" s="1"/>
      <c r="O139" s="1"/>
      <c r="P139" s="29"/>
      <c r="Q139" s="25">
        <f>F139+J139</f>
        <v>2318000</v>
      </c>
    </row>
    <row r="140" spans="1:18" s="31" customFormat="1" ht="35.25" customHeight="1" x14ac:dyDescent="0.2">
      <c r="A140" s="67">
        <v>1113131</v>
      </c>
      <c r="B140" s="26" t="s">
        <v>145</v>
      </c>
      <c r="C140" s="26" t="s">
        <v>104</v>
      </c>
      <c r="D140" s="68" t="s">
        <v>146</v>
      </c>
      <c r="E140" s="2">
        <f t="shared" si="55"/>
        <v>585000</v>
      </c>
      <c r="F140" s="1">
        <v>585000</v>
      </c>
      <c r="G140" s="1"/>
      <c r="H140" s="1"/>
      <c r="I140" s="28"/>
      <c r="J140" s="23">
        <f t="shared" si="56"/>
        <v>0</v>
      </c>
      <c r="K140" s="1"/>
      <c r="L140" s="1"/>
      <c r="M140" s="1"/>
      <c r="N140" s="1"/>
      <c r="O140" s="1"/>
      <c r="P140" s="29"/>
      <c r="Q140" s="25">
        <f t="shared" ref="Q140:Q147" si="57">F140+J140</f>
        <v>585000</v>
      </c>
      <c r="R140" s="30"/>
    </row>
    <row r="141" spans="1:18" s="31" customFormat="1" ht="25.5" customHeight="1" x14ac:dyDescent="0.2">
      <c r="A141" s="67">
        <v>1115011</v>
      </c>
      <c r="B141" s="26" t="s">
        <v>107</v>
      </c>
      <c r="C141" s="26" t="s">
        <v>105</v>
      </c>
      <c r="D141" s="27" t="s">
        <v>106</v>
      </c>
      <c r="E141" s="2">
        <f t="shared" si="55"/>
        <v>750000</v>
      </c>
      <c r="F141" s="1">
        <v>750000</v>
      </c>
      <c r="G141" s="1"/>
      <c r="H141" s="1"/>
      <c r="I141" s="28"/>
      <c r="J141" s="23">
        <f>K141+N141</f>
        <v>0</v>
      </c>
      <c r="K141" s="1"/>
      <c r="L141" s="1"/>
      <c r="M141" s="1"/>
      <c r="N141" s="1"/>
      <c r="O141" s="1"/>
      <c r="P141" s="29"/>
      <c r="Q141" s="25">
        <f t="shared" si="57"/>
        <v>750000</v>
      </c>
    </row>
    <row r="142" spans="1:18" s="31" customFormat="1" ht="23.25" customHeight="1" x14ac:dyDescent="0.2">
      <c r="A142" s="67">
        <v>1115012</v>
      </c>
      <c r="B142" s="26" t="s">
        <v>142</v>
      </c>
      <c r="C142" s="26" t="s">
        <v>105</v>
      </c>
      <c r="D142" s="27" t="s">
        <v>141</v>
      </c>
      <c r="E142" s="2">
        <f t="shared" si="55"/>
        <v>750000</v>
      </c>
      <c r="F142" s="1">
        <v>750000</v>
      </c>
      <c r="G142" s="1"/>
      <c r="H142" s="1"/>
      <c r="I142" s="28"/>
      <c r="J142" s="23">
        <f>K142+N142</f>
        <v>0</v>
      </c>
      <c r="K142" s="1"/>
      <c r="L142" s="1"/>
      <c r="M142" s="1"/>
      <c r="N142" s="1"/>
      <c r="O142" s="1"/>
      <c r="P142" s="29"/>
      <c r="Q142" s="25">
        <f t="shared" si="57"/>
        <v>750000</v>
      </c>
    </row>
    <row r="143" spans="1:18" s="31" customFormat="1" ht="26.25" customHeight="1" x14ac:dyDescent="0.2">
      <c r="A143" s="67">
        <v>1115021</v>
      </c>
      <c r="B143" s="26" t="s">
        <v>147</v>
      </c>
      <c r="C143" s="26" t="s">
        <v>105</v>
      </c>
      <c r="D143" s="27" t="s">
        <v>12</v>
      </c>
      <c r="E143" s="2">
        <f t="shared" si="55"/>
        <v>371500</v>
      </c>
      <c r="F143" s="1">
        <v>371500</v>
      </c>
      <c r="G143" s="1">
        <v>271000</v>
      </c>
      <c r="H143" s="1">
        <v>13500</v>
      </c>
      <c r="I143" s="28"/>
      <c r="J143" s="23">
        <f t="shared" ref="J143:J147" si="58">K143+N143</f>
        <v>0</v>
      </c>
      <c r="K143" s="1"/>
      <c r="L143" s="1"/>
      <c r="M143" s="1"/>
      <c r="N143" s="1"/>
      <c r="O143" s="1"/>
      <c r="P143" s="29"/>
      <c r="Q143" s="25">
        <f t="shared" si="57"/>
        <v>371500</v>
      </c>
    </row>
    <row r="144" spans="1:18" s="31" customFormat="1" ht="27.75" customHeight="1" x14ac:dyDescent="0.2">
      <c r="A144" s="67">
        <v>1115022</v>
      </c>
      <c r="B144" s="26" t="s">
        <v>148</v>
      </c>
      <c r="C144" s="26" t="s">
        <v>456</v>
      </c>
      <c r="D144" s="27" t="s">
        <v>13</v>
      </c>
      <c r="E144" s="2">
        <f t="shared" si="55"/>
        <v>140000</v>
      </c>
      <c r="F144" s="1">
        <v>140000</v>
      </c>
      <c r="G144" s="1"/>
      <c r="H144" s="1"/>
      <c r="I144" s="28"/>
      <c r="J144" s="23">
        <f t="shared" si="58"/>
        <v>0</v>
      </c>
      <c r="K144" s="1"/>
      <c r="L144" s="1"/>
      <c r="M144" s="1"/>
      <c r="N144" s="1"/>
      <c r="O144" s="1"/>
      <c r="P144" s="29"/>
      <c r="Q144" s="25">
        <f t="shared" si="57"/>
        <v>140000</v>
      </c>
    </row>
    <row r="145" spans="1:19" s="31" customFormat="1" ht="27.75" customHeight="1" x14ac:dyDescent="0.2">
      <c r="A145" s="67">
        <v>1115041</v>
      </c>
      <c r="B145" s="26" t="s">
        <v>455</v>
      </c>
      <c r="C145" s="26" t="s">
        <v>105</v>
      </c>
      <c r="D145" s="27" t="s">
        <v>454</v>
      </c>
      <c r="E145" s="2">
        <f t="shared" si="55"/>
        <v>2400000</v>
      </c>
      <c r="F145" s="1">
        <v>2400000</v>
      </c>
      <c r="G145" s="1"/>
      <c r="H145" s="1"/>
      <c r="I145" s="28"/>
      <c r="J145" s="23">
        <f t="shared" si="58"/>
        <v>500000</v>
      </c>
      <c r="K145" s="1"/>
      <c r="L145" s="1"/>
      <c r="M145" s="1"/>
      <c r="N145" s="1">
        <f>500000</f>
        <v>500000</v>
      </c>
      <c r="O145" s="1">
        <f t="shared" ref="O145:P145" si="59">500000</f>
        <v>500000</v>
      </c>
      <c r="P145" s="29">
        <f t="shared" si="59"/>
        <v>500000</v>
      </c>
      <c r="Q145" s="25">
        <f t="shared" si="57"/>
        <v>2900000</v>
      </c>
    </row>
    <row r="146" spans="1:19" s="31" customFormat="1" ht="49.5" customHeight="1" x14ac:dyDescent="0.2">
      <c r="A146" s="67">
        <v>1115061</v>
      </c>
      <c r="B146" s="26" t="s">
        <v>150</v>
      </c>
      <c r="C146" s="26" t="s">
        <v>105</v>
      </c>
      <c r="D146" s="27" t="s">
        <v>151</v>
      </c>
      <c r="E146" s="2">
        <f t="shared" si="55"/>
        <v>450000</v>
      </c>
      <c r="F146" s="1">
        <v>450000</v>
      </c>
      <c r="G146" s="1">
        <v>172000</v>
      </c>
      <c r="H146" s="1"/>
      <c r="I146" s="28"/>
      <c r="J146" s="23">
        <f t="shared" si="58"/>
        <v>0</v>
      </c>
      <c r="K146" s="1"/>
      <c r="L146" s="1"/>
      <c r="M146" s="1"/>
      <c r="N146" s="1"/>
      <c r="O146" s="1"/>
      <c r="P146" s="29"/>
      <c r="Q146" s="25">
        <f t="shared" si="57"/>
        <v>450000</v>
      </c>
    </row>
    <row r="147" spans="1:19" s="31" customFormat="1" ht="39.75" customHeight="1" x14ac:dyDescent="0.2">
      <c r="A147" s="67">
        <v>1115062</v>
      </c>
      <c r="B147" s="26" t="s">
        <v>152</v>
      </c>
      <c r="C147" s="26" t="s">
        <v>105</v>
      </c>
      <c r="D147" s="27" t="s">
        <v>153</v>
      </c>
      <c r="E147" s="2">
        <f>F147</f>
        <v>6600000</v>
      </c>
      <c r="F147" s="1">
        <v>6600000</v>
      </c>
      <c r="G147" s="1"/>
      <c r="H147" s="1"/>
      <c r="I147" s="28"/>
      <c r="J147" s="23">
        <f t="shared" si="58"/>
        <v>0</v>
      </c>
      <c r="K147" s="1"/>
      <c r="L147" s="1"/>
      <c r="M147" s="1"/>
      <c r="N147" s="1"/>
      <c r="O147" s="1"/>
      <c r="P147" s="29"/>
      <c r="Q147" s="25">
        <f t="shared" si="57"/>
        <v>6600000</v>
      </c>
    </row>
    <row r="148" spans="1:19" s="16" customFormat="1" ht="21" x14ac:dyDescent="0.2">
      <c r="A148" s="40" t="s">
        <v>234</v>
      </c>
      <c r="B148" s="18"/>
      <c r="C148" s="18"/>
      <c r="D148" s="69" t="s">
        <v>58</v>
      </c>
      <c r="E148" s="20">
        <f t="shared" ref="E148:P148" si="60">E150+E152+E153+E154+E155+E156+E157+E151+E159+E158</f>
        <v>92056300</v>
      </c>
      <c r="F148" s="21">
        <f t="shared" si="60"/>
        <v>92056300</v>
      </c>
      <c r="G148" s="21">
        <f t="shared" si="60"/>
        <v>9276000</v>
      </c>
      <c r="H148" s="21">
        <f t="shared" si="60"/>
        <v>6293300</v>
      </c>
      <c r="I148" s="70">
        <f>I150+I152+I153+I154+I155+I156+I157+I151+I159+I158</f>
        <v>0</v>
      </c>
      <c r="J148" s="39">
        <f t="shared" si="60"/>
        <v>368136500</v>
      </c>
      <c r="K148" s="21">
        <f t="shared" si="60"/>
        <v>3055000</v>
      </c>
      <c r="L148" s="21">
        <f t="shared" si="60"/>
        <v>2200000</v>
      </c>
      <c r="M148" s="21">
        <f t="shared" si="60"/>
        <v>50000</v>
      </c>
      <c r="N148" s="21">
        <f t="shared" si="60"/>
        <v>365081500</v>
      </c>
      <c r="O148" s="21">
        <f t="shared" si="60"/>
        <v>364781500</v>
      </c>
      <c r="P148" s="24">
        <f t="shared" si="60"/>
        <v>364781500</v>
      </c>
      <c r="Q148" s="25">
        <f>F148+J148</f>
        <v>460192800</v>
      </c>
      <c r="R148" s="15"/>
      <c r="S148" s="15"/>
    </row>
    <row r="149" spans="1:19" s="16" customFormat="1" ht="21" x14ac:dyDescent="0.2">
      <c r="A149" s="40" t="s">
        <v>235</v>
      </c>
      <c r="B149" s="18"/>
      <c r="C149" s="18"/>
      <c r="D149" s="19" t="s">
        <v>58</v>
      </c>
      <c r="E149" s="20"/>
      <c r="F149" s="21"/>
      <c r="G149" s="21"/>
      <c r="H149" s="21"/>
      <c r="I149" s="38"/>
      <c r="J149" s="23"/>
      <c r="K149" s="21"/>
      <c r="L149" s="21"/>
      <c r="M149" s="21"/>
      <c r="N149" s="21"/>
      <c r="O149" s="21"/>
      <c r="P149" s="24"/>
      <c r="Q149" s="47"/>
    </row>
    <row r="150" spans="1:19" s="31" customFormat="1" ht="33" customHeight="1" x14ac:dyDescent="0.2">
      <c r="A150" s="32" t="s">
        <v>236</v>
      </c>
      <c r="B150" s="26" t="s">
        <v>144</v>
      </c>
      <c r="C150" s="26" t="s">
        <v>79</v>
      </c>
      <c r="D150" s="27" t="s">
        <v>59</v>
      </c>
      <c r="E150" s="2">
        <v>8890300</v>
      </c>
      <c r="F150" s="1">
        <v>8890300</v>
      </c>
      <c r="G150" s="1">
        <v>6876000</v>
      </c>
      <c r="H150" s="1">
        <v>243300</v>
      </c>
      <c r="I150" s="70"/>
      <c r="J150" s="23">
        <f t="shared" si="39"/>
        <v>0</v>
      </c>
      <c r="K150" s="1">
        <f>L150+M150</f>
        <v>0</v>
      </c>
      <c r="L150" s="1"/>
      <c r="M150" s="1"/>
      <c r="N150" s="1"/>
      <c r="O150" s="1"/>
      <c r="P150" s="29"/>
      <c r="Q150" s="47">
        <f>E150+J150</f>
        <v>8890300</v>
      </c>
    </row>
    <row r="151" spans="1:19" s="31" customFormat="1" ht="24" x14ac:dyDescent="0.2">
      <c r="A151" s="32" t="s">
        <v>405</v>
      </c>
      <c r="B151" s="26" t="s">
        <v>61</v>
      </c>
      <c r="C151" s="26" t="s">
        <v>66</v>
      </c>
      <c r="D151" s="36" t="s">
        <v>316</v>
      </c>
      <c r="E151" s="2">
        <v>3300000</v>
      </c>
      <c r="F151" s="1">
        <v>3300000</v>
      </c>
      <c r="G151" s="1">
        <v>2400000</v>
      </c>
      <c r="H151" s="1">
        <v>50000</v>
      </c>
      <c r="I151" s="70"/>
      <c r="J151" s="23">
        <v>2855000</v>
      </c>
      <c r="K151" s="1">
        <v>2855000</v>
      </c>
      <c r="L151" s="1">
        <v>2200000</v>
      </c>
      <c r="M151" s="1">
        <v>50000</v>
      </c>
      <c r="N151" s="1"/>
      <c r="O151" s="1"/>
      <c r="P151" s="29"/>
      <c r="Q151" s="47">
        <f>E151+J151</f>
        <v>6155000</v>
      </c>
    </row>
    <row r="152" spans="1:19" s="31" customFormat="1" ht="22.5" x14ac:dyDescent="0.2">
      <c r="A152" s="32" t="s">
        <v>418</v>
      </c>
      <c r="B152" s="26" t="s">
        <v>419</v>
      </c>
      <c r="C152" s="26" t="s">
        <v>90</v>
      </c>
      <c r="D152" s="27" t="s">
        <v>420</v>
      </c>
      <c r="E152" s="2">
        <v>210000</v>
      </c>
      <c r="F152" s="1">
        <v>210000</v>
      </c>
      <c r="G152" s="1"/>
      <c r="H152" s="1"/>
      <c r="I152" s="70"/>
      <c r="J152" s="23">
        <f t="shared" si="39"/>
        <v>1950000</v>
      </c>
      <c r="K152" s="1">
        <f t="shared" ref="K152:K157" si="61">L152+M152</f>
        <v>0</v>
      </c>
      <c r="L152" s="1"/>
      <c r="M152" s="1"/>
      <c r="N152" s="1">
        <f>1950000</f>
        <v>1950000</v>
      </c>
      <c r="O152" s="1">
        <f t="shared" ref="O152:P152" si="62">1950000</f>
        <v>1950000</v>
      </c>
      <c r="P152" s="29">
        <f t="shared" si="62"/>
        <v>1950000</v>
      </c>
      <c r="Q152" s="47">
        <f t="shared" ref="Q152:Q159" si="63">E152+J152</f>
        <v>2160000</v>
      </c>
    </row>
    <row r="153" spans="1:19" s="31" customFormat="1" ht="21" hidden="1" customHeight="1" x14ac:dyDescent="0.2">
      <c r="A153" s="32">
        <v>4116021</v>
      </c>
      <c r="B153" s="26">
        <v>6021</v>
      </c>
      <c r="C153" s="26" t="s">
        <v>89</v>
      </c>
      <c r="D153" s="27" t="s">
        <v>60</v>
      </c>
      <c r="E153" s="2"/>
      <c r="F153" s="1"/>
      <c r="G153" s="1"/>
      <c r="H153" s="1"/>
      <c r="I153" s="70">
        <f>J153</f>
        <v>0</v>
      </c>
      <c r="J153" s="23">
        <f t="shared" si="39"/>
        <v>0</v>
      </c>
      <c r="K153" s="1">
        <f t="shared" si="61"/>
        <v>0</v>
      </c>
      <c r="L153" s="1"/>
      <c r="M153" s="1"/>
      <c r="N153" s="1"/>
      <c r="O153" s="1"/>
      <c r="P153" s="29"/>
      <c r="Q153" s="47">
        <f t="shared" si="63"/>
        <v>0</v>
      </c>
    </row>
    <row r="154" spans="1:19" s="31" customFormat="1" ht="31.5" customHeight="1" x14ac:dyDescent="0.2">
      <c r="A154" s="32" t="s">
        <v>237</v>
      </c>
      <c r="B154" s="26" t="s">
        <v>192</v>
      </c>
      <c r="C154" s="26" t="s">
        <v>90</v>
      </c>
      <c r="D154" s="27" t="s">
        <v>193</v>
      </c>
      <c r="E154" s="2">
        <v>4200000</v>
      </c>
      <c r="F154" s="1">
        <v>4200000</v>
      </c>
      <c r="G154" s="1"/>
      <c r="H154" s="1"/>
      <c r="I154" s="70"/>
      <c r="J154" s="23">
        <f t="shared" si="39"/>
        <v>0</v>
      </c>
      <c r="K154" s="1">
        <f t="shared" si="61"/>
        <v>0</v>
      </c>
      <c r="L154" s="1"/>
      <c r="M154" s="1"/>
      <c r="N154" s="1"/>
      <c r="O154" s="1"/>
      <c r="P154" s="29"/>
      <c r="Q154" s="47">
        <f t="shared" si="63"/>
        <v>4200000</v>
      </c>
    </row>
    <row r="155" spans="1:19" s="31" customFormat="1" ht="19.5" customHeight="1" x14ac:dyDescent="0.2">
      <c r="A155" s="32" t="s">
        <v>238</v>
      </c>
      <c r="B155" s="26" t="s">
        <v>194</v>
      </c>
      <c r="C155" s="26" t="s">
        <v>90</v>
      </c>
      <c r="D155" s="27" t="s">
        <v>195</v>
      </c>
      <c r="E155" s="2">
        <v>75456000</v>
      </c>
      <c r="F155" s="1">
        <v>75456000</v>
      </c>
      <c r="G155" s="1"/>
      <c r="H155" s="1">
        <v>6000000</v>
      </c>
      <c r="I155" s="70"/>
      <c r="J155" s="23">
        <f t="shared" si="39"/>
        <v>173107400</v>
      </c>
      <c r="K155" s="1">
        <f t="shared" si="61"/>
        <v>0</v>
      </c>
      <c r="L155" s="1"/>
      <c r="M155" s="1"/>
      <c r="N155" s="1">
        <v>173107400</v>
      </c>
      <c r="O155" s="1">
        <v>173107400</v>
      </c>
      <c r="P155" s="1">
        <v>173107400</v>
      </c>
      <c r="Q155" s="47">
        <f t="shared" si="63"/>
        <v>248563400</v>
      </c>
    </row>
    <row r="156" spans="1:19" s="31" customFormat="1" ht="21.95" customHeight="1" x14ac:dyDescent="0.2">
      <c r="A156" s="32" t="s">
        <v>421</v>
      </c>
      <c r="B156" s="26" t="s">
        <v>422</v>
      </c>
      <c r="C156" s="26" t="s">
        <v>378</v>
      </c>
      <c r="D156" s="27" t="s">
        <v>423</v>
      </c>
      <c r="E156" s="2"/>
      <c r="F156" s="1"/>
      <c r="G156" s="1"/>
      <c r="H156" s="1"/>
      <c r="I156" s="70"/>
      <c r="J156" s="23">
        <f t="shared" si="39"/>
        <v>71087400</v>
      </c>
      <c r="K156" s="1">
        <f t="shared" si="61"/>
        <v>0</v>
      </c>
      <c r="L156" s="1"/>
      <c r="M156" s="1"/>
      <c r="N156" s="1">
        <f>71087400</f>
        <v>71087400</v>
      </c>
      <c r="O156" s="1">
        <f t="shared" ref="O156:P156" si="64">71087400</f>
        <v>71087400</v>
      </c>
      <c r="P156" s="29">
        <f t="shared" si="64"/>
        <v>71087400</v>
      </c>
      <c r="Q156" s="47">
        <f t="shared" si="63"/>
        <v>71087400</v>
      </c>
    </row>
    <row r="157" spans="1:19" s="31" customFormat="1" ht="25.5" customHeight="1" x14ac:dyDescent="0.2">
      <c r="A157" s="32" t="s">
        <v>239</v>
      </c>
      <c r="B157" s="26" t="s">
        <v>169</v>
      </c>
      <c r="C157" s="26" t="s">
        <v>91</v>
      </c>
      <c r="D157" s="27" t="s">
        <v>50</v>
      </c>
      <c r="E157" s="2"/>
      <c r="F157" s="1"/>
      <c r="G157" s="1"/>
      <c r="H157" s="1"/>
      <c r="I157" s="70"/>
      <c r="J157" s="23">
        <f t="shared" si="39"/>
        <v>118636700</v>
      </c>
      <c r="K157" s="1">
        <f t="shared" si="61"/>
        <v>0</v>
      </c>
      <c r="L157" s="1"/>
      <c r="M157" s="1"/>
      <c r="N157" s="1">
        <f>118636700</f>
        <v>118636700</v>
      </c>
      <c r="O157" s="1">
        <f t="shared" ref="O157:P157" si="65">118636700</f>
        <v>118636700</v>
      </c>
      <c r="P157" s="29">
        <f t="shared" si="65"/>
        <v>118636700</v>
      </c>
      <c r="Q157" s="47">
        <f t="shared" si="63"/>
        <v>118636700</v>
      </c>
    </row>
    <row r="158" spans="1:19" s="31" customFormat="1" ht="82.5" customHeight="1" x14ac:dyDescent="0.2">
      <c r="A158" s="32" t="s">
        <v>240</v>
      </c>
      <c r="B158" s="26" t="s">
        <v>165</v>
      </c>
      <c r="C158" s="26" t="s">
        <v>91</v>
      </c>
      <c r="D158" s="27" t="s">
        <v>166</v>
      </c>
      <c r="E158" s="2"/>
      <c r="F158" s="1"/>
      <c r="G158" s="1"/>
      <c r="H158" s="1"/>
      <c r="I158" s="70"/>
      <c r="J158" s="23">
        <f>K158+N158</f>
        <v>300000</v>
      </c>
      <c r="K158" s="1">
        <f>L158+M158</f>
        <v>0</v>
      </c>
      <c r="L158" s="1"/>
      <c r="M158" s="1"/>
      <c r="N158" s="1">
        <v>300000</v>
      </c>
      <c r="O158" s="1"/>
      <c r="P158" s="29"/>
      <c r="Q158" s="47">
        <f t="shared" ref="Q158" si="66">F158+J158</f>
        <v>300000</v>
      </c>
    </row>
    <row r="159" spans="1:19" s="31" customFormat="1" ht="24" customHeight="1" x14ac:dyDescent="0.2">
      <c r="A159" s="32">
        <v>1218340</v>
      </c>
      <c r="B159" s="26" t="s">
        <v>451</v>
      </c>
      <c r="C159" s="26" t="s">
        <v>452</v>
      </c>
      <c r="D159" s="27" t="s">
        <v>453</v>
      </c>
      <c r="E159" s="2"/>
      <c r="F159" s="1"/>
      <c r="G159" s="1"/>
      <c r="H159" s="1"/>
      <c r="I159" s="70"/>
      <c r="J159" s="23">
        <f t="shared" si="39"/>
        <v>200000</v>
      </c>
      <c r="K159" s="1">
        <v>200000</v>
      </c>
      <c r="L159" s="1"/>
      <c r="M159" s="1"/>
      <c r="N159" s="1"/>
      <c r="O159" s="1"/>
      <c r="P159" s="29"/>
      <c r="Q159" s="47">
        <f t="shared" si="63"/>
        <v>200000</v>
      </c>
    </row>
    <row r="160" spans="1:19" s="16" customFormat="1" ht="28.5" customHeight="1" x14ac:dyDescent="0.2">
      <c r="A160" s="40" t="s">
        <v>400</v>
      </c>
      <c r="B160" s="18"/>
      <c r="C160" s="18"/>
      <c r="D160" s="19" t="s">
        <v>32</v>
      </c>
      <c r="E160" s="20">
        <f>E162+E163+E178</f>
        <v>1956000</v>
      </c>
      <c r="F160" s="21">
        <f>F162+F163+F178</f>
        <v>1956000</v>
      </c>
      <c r="G160" s="21">
        <f>G162+G163+G178</f>
        <v>1437000</v>
      </c>
      <c r="H160" s="21">
        <f>H162+H163+H178</f>
        <v>72000</v>
      </c>
      <c r="I160" s="22">
        <f>I162+I163+I178</f>
        <v>0</v>
      </c>
      <c r="J160" s="39">
        <f t="shared" ref="J160:P160" si="67">SUM(J162:J178)</f>
        <v>587915000</v>
      </c>
      <c r="K160" s="21">
        <f t="shared" si="67"/>
        <v>2705000</v>
      </c>
      <c r="L160" s="21">
        <f t="shared" si="67"/>
        <v>2150000</v>
      </c>
      <c r="M160" s="21">
        <f t="shared" si="67"/>
        <v>16000</v>
      </c>
      <c r="N160" s="21">
        <f t="shared" si="67"/>
        <v>585210000</v>
      </c>
      <c r="O160" s="21">
        <f t="shared" si="67"/>
        <v>585210000</v>
      </c>
      <c r="P160" s="24">
        <f t="shared" si="67"/>
        <v>445610000</v>
      </c>
      <c r="Q160" s="25">
        <f>F160+J160</f>
        <v>589871000</v>
      </c>
      <c r="R160" s="15"/>
    </row>
    <row r="161" spans="1:18" s="16" customFormat="1" ht="21" x14ac:dyDescent="0.2">
      <c r="A161" s="40" t="s">
        <v>401</v>
      </c>
      <c r="B161" s="18"/>
      <c r="C161" s="18"/>
      <c r="D161" s="19" t="s">
        <v>32</v>
      </c>
      <c r="E161" s="20"/>
      <c r="F161" s="21"/>
      <c r="G161" s="21"/>
      <c r="H161" s="21"/>
      <c r="I161" s="22"/>
      <c r="J161" s="23"/>
      <c r="K161" s="21"/>
      <c r="L161" s="21"/>
      <c r="M161" s="21"/>
      <c r="N161" s="21"/>
      <c r="O161" s="21"/>
      <c r="P161" s="24"/>
      <c r="Q161" s="47"/>
    </row>
    <row r="162" spans="1:18" s="31" customFormat="1" ht="24.75" customHeight="1" x14ac:dyDescent="0.2">
      <c r="A162" s="32" t="s">
        <v>402</v>
      </c>
      <c r="B162" s="26" t="s">
        <v>144</v>
      </c>
      <c r="C162" s="26" t="s">
        <v>79</v>
      </c>
      <c r="D162" s="27" t="s">
        <v>33</v>
      </c>
      <c r="E162" s="2">
        <v>1956000</v>
      </c>
      <c r="F162" s="1">
        <v>1956000</v>
      </c>
      <c r="G162" s="1">
        <v>1437000</v>
      </c>
      <c r="H162" s="1">
        <v>72000</v>
      </c>
      <c r="I162" s="28"/>
      <c r="J162" s="23">
        <f t="shared" ref="J162:J219" si="68">K162+N162</f>
        <v>2500000</v>
      </c>
      <c r="K162" s="1">
        <f>L162+M162</f>
        <v>0</v>
      </c>
      <c r="L162" s="1"/>
      <c r="M162" s="1"/>
      <c r="N162" s="1">
        <f>2500000</f>
        <v>2500000</v>
      </c>
      <c r="O162" s="1">
        <f t="shared" ref="O162:P162" si="69">2500000</f>
        <v>2500000</v>
      </c>
      <c r="P162" s="29">
        <f t="shared" si="69"/>
        <v>2500000</v>
      </c>
      <c r="Q162" s="47">
        <f>F162+J162</f>
        <v>4456000</v>
      </c>
    </row>
    <row r="163" spans="1:18" s="31" customFormat="1" ht="24" customHeight="1" x14ac:dyDescent="0.2">
      <c r="A163" s="71" t="s">
        <v>413</v>
      </c>
      <c r="B163" s="72" t="s">
        <v>61</v>
      </c>
      <c r="C163" s="72" t="s">
        <v>66</v>
      </c>
      <c r="D163" s="27" t="s">
        <v>316</v>
      </c>
      <c r="E163" s="73"/>
      <c r="F163" s="74"/>
      <c r="G163" s="1"/>
      <c r="H163" s="1"/>
      <c r="I163" s="28"/>
      <c r="J163" s="23">
        <f>K163+N163</f>
        <v>4200000</v>
      </c>
      <c r="K163" s="1">
        <v>2700000</v>
      </c>
      <c r="L163" s="1">
        <v>2150000</v>
      </c>
      <c r="M163" s="1">
        <v>16000</v>
      </c>
      <c r="N163" s="1">
        <f>1500000</f>
        <v>1500000</v>
      </c>
      <c r="O163" s="1">
        <f t="shared" ref="O163:P163" si="70">1500000</f>
        <v>1500000</v>
      </c>
      <c r="P163" s="29">
        <f t="shared" si="70"/>
        <v>1500000</v>
      </c>
      <c r="Q163" s="47">
        <f>F163+J163</f>
        <v>4200000</v>
      </c>
      <c r="R163" s="30"/>
    </row>
    <row r="164" spans="1:18" s="31" customFormat="1" ht="12" x14ac:dyDescent="0.2">
      <c r="A164" s="71" t="s">
        <v>424</v>
      </c>
      <c r="B164" s="72" t="s">
        <v>117</v>
      </c>
      <c r="C164" s="72" t="s">
        <v>98</v>
      </c>
      <c r="D164" s="27" t="s">
        <v>170</v>
      </c>
      <c r="E164" s="73"/>
      <c r="F164" s="74"/>
      <c r="G164" s="1"/>
      <c r="H164" s="1"/>
      <c r="I164" s="28"/>
      <c r="J164" s="23">
        <f t="shared" si="68"/>
        <v>3000000</v>
      </c>
      <c r="K164" s="1"/>
      <c r="L164" s="1"/>
      <c r="M164" s="1"/>
      <c r="N164" s="1">
        <f>3000000</f>
        <v>3000000</v>
      </c>
      <c r="O164" s="1">
        <f t="shared" ref="O164:P164" si="71">3000000</f>
        <v>3000000</v>
      </c>
      <c r="P164" s="29">
        <f t="shared" si="71"/>
        <v>3000000</v>
      </c>
      <c r="Q164" s="47">
        <f t="shared" ref="Q164:Q178" si="72">F164+J164</f>
        <v>3000000</v>
      </c>
      <c r="R164" s="30"/>
    </row>
    <row r="165" spans="1:18" s="31" customFormat="1" ht="56.25" x14ac:dyDescent="0.2">
      <c r="A165" s="71" t="s">
        <v>425</v>
      </c>
      <c r="B165" s="72" t="s">
        <v>118</v>
      </c>
      <c r="C165" s="72" t="s">
        <v>99</v>
      </c>
      <c r="D165" s="27" t="s">
        <v>426</v>
      </c>
      <c r="E165" s="73"/>
      <c r="F165" s="74"/>
      <c r="G165" s="1"/>
      <c r="H165" s="1"/>
      <c r="I165" s="28"/>
      <c r="J165" s="23">
        <f t="shared" si="68"/>
        <v>11620000</v>
      </c>
      <c r="K165" s="1"/>
      <c r="L165" s="1"/>
      <c r="M165" s="1"/>
      <c r="N165" s="1">
        <f>11620000</f>
        <v>11620000</v>
      </c>
      <c r="O165" s="1">
        <f t="shared" ref="O165:P165" si="73">11620000</f>
        <v>11620000</v>
      </c>
      <c r="P165" s="29">
        <f t="shared" si="73"/>
        <v>11620000</v>
      </c>
      <c r="Q165" s="47">
        <f t="shared" si="72"/>
        <v>11620000</v>
      </c>
      <c r="R165" s="30"/>
    </row>
    <row r="166" spans="1:18" s="31" customFormat="1" ht="22.5" x14ac:dyDescent="0.2">
      <c r="A166" s="75" t="s">
        <v>427</v>
      </c>
      <c r="B166" s="76" t="s">
        <v>428</v>
      </c>
      <c r="C166" s="76" t="s">
        <v>73</v>
      </c>
      <c r="D166" s="77" t="s">
        <v>46</v>
      </c>
      <c r="E166" s="73"/>
      <c r="F166" s="74"/>
      <c r="G166" s="1"/>
      <c r="H166" s="1"/>
      <c r="I166" s="28"/>
      <c r="J166" s="23">
        <f t="shared" si="68"/>
        <v>4250000</v>
      </c>
      <c r="K166" s="1"/>
      <c r="L166" s="1"/>
      <c r="M166" s="1"/>
      <c r="N166" s="1">
        <f>4250000</f>
        <v>4250000</v>
      </c>
      <c r="O166" s="1">
        <f t="shared" ref="O166:P166" si="74">4250000</f>
        <v>4250000</v>
      </c>
      <c r="P166" s="29">
        <f t="shared" si="74"/>
        <v>4250000</v>
      </c>
      <c r="Q166" s="47">
        <f t="shared" si="72"/>
        <v>4250000</v>
      </c>
      <c r="R166" s="30"/>
    </row>
    <row r="167" spans="1:18" s="31" customFormat="1" ht="22.5" x14ac:dyDescent="0.2">
      <c r="A167" s="75" t="s">
        <v>429</v>
      </c>
      <c r="B167" s="76" t="s">
        <v>186</v>
      </c>
      <c r="C167" s="76" t="s">
        <v>74</v>
      </c>
      <c r="D167" s="77" t="s">
        <v>430</v>
      </c>
      <c r="E167" s="73"/>
      <c r="F167" s="74"/>
      <c r="G167" s="1"/>
      <c r="H167" s="1"/>
      <c r="I167" s="28"/>
      <c r="J167" s="23">
        <f t="shared" si="68"/>
        <v>10000000</v>
      </c>
      <c r="K167" s="1"/>
      <c r="L167" s="1"/>
      <c r="M167" s="1"/>
      <c r="N167" s="1">
        <f>10000000</f>
        <v>10000000</v>
      </c>
      <c r="O167" s="1">
        <f t="shared" ref="O167:P167" si="75">10000000</f>
        <v>10000000</v>
      </c>
      <c r="P167" s="29">
        <f t="shared" si="75"/>
        <v>10000000</v>
      </c>
      <c r="Q167" s="47">
        <f t="shared" si="72"/>
        <v>10000000</v>
      </c>
      <c r="R167" s="30"/>
    </row>
    <row r="168" spans="1:18" s="31" customFormat="1" ht="22.5" x14ac:dyDescent="0.2">
      <c r="A168" s="75" t="s">
        <v>431</v>
      </c>
      <c r="B168" s="76" t="s">
        <v>187</v>
      </c>
      <c r="C168" s="76" t="s">
        <v>75</v>
      </c>
      <c r="D168" s="77" t="s">
        <v>47</v>
      </c>
      <c r="E168" s="2"/>
      <c r="F168" s="1"/>
      <c r="G168" s="1"/>
      <c r="H168" s="1"/>
      <c r="I168" s="28"/>
      <c r="J168" s="23">
        <f t="shared" si="68"/>
        <v>2100000</v>
      </c>
      <c r="K168" s="1"/>
      <c r="L168" s="1"/>
      <c r="M168" s="1"/>
      <c r="N168" s="1">
        <f>2100000</f>
        <v>2100000</v>
      </c>
      <c r="O168" s="1">
        <f t="shared" ref="O168:P168" si="76">2100000</f>
        <v>2100000</v>
      </c>
      <c r="P168" s="29">
        <f t="shared" si="76"/>
        <v>2100000</v>
      </c>
      <c r="Q168" s="47">
        <f t="shared" si="72"/>
        <v>2100000</v>
      </c>
      <c r="R168" s="30"/>
    </row>
    <row r="169" spans="1:18" s="31" customFormat="1" ht="33.75" x14ac:dyDescent="0.2">
      <c r="A169" s="78">
        <v>1514060</v>
      </c>
      <c r="B169" s="72" t="s">
        <v>110</v>
      </c>
      <c r="C169" s="72" t="s">
        <v>112</v>
      </c>
      <c r="D169" s="79" t="s">
        <v>432</v>
      </c>
      <c r="E169" s="2"/>
      <c r="F169" s="1"/>
      <c r="G169" s="1"/>
      <c r="H169" s="1"/>
      <c r="I169" s="28"/>
      <c r="J169" s="23">
        <f t="shared" si="68"/>
        <v>2500000</v>
      </c>
      <c r="K169" s="1"/>
      <c r="L169" s="1"/>
      <c r="M169" s="1"/>
      <c r="N169" s="1">
        <f>2500000</f>
        <v>2500000</v>
      </c>
      <c r="O169" s="1">
        <f t="shared" ref="O169:P169" si="77">2500000</f>
        <v>2500000</v>
      </c>
      <c r="P169" s="29">
        <f t="shared" si="77"/>
        <v>2500000</v>
      </c>
      <c r="Q169" s="47">
        <f t="shared" ref="Q169:Q170" si="78">F169+J169</f>
        <v>2500000</v>
      </c>
      <c r="R169" s="30"/>
    </row>
    <row r="170" spans="1:18" s="31" customFormat="1" ht="12" x14ac:dyDescent="0.2">
      <c r="A170" s="71" t="s">
        <v>433</v>
      </c>
      <c r="B170" s="72" t="s">
        <v>194</v>
      </c>
      <c r="C170" s="72" t="s">
        <v>90</v>
      </c>
      <c r="D170" s="79" t="s">
        <v>195</v>
      </c>
      <c r="E170" s="2"/>
      <c r="F170" s="1"/>
      <c r="G170" s="1"/>
      <c r="H170" s="1"/>
      <c r="I170" s="28"/>
      <c r="J170" s="23">
        <f t="shared" si="68"/>
        <v>110750000</v>
      </c>
      <c r="K170" s="1"/>
      <c r="L170" s="1"/>
      <c r="M170" s="1"/>
      <c r="N170" s="1">
        <v>110750000</v>
      </c>
      <c r="O170" s="1">
        <v>110750000</v>
      </c>
      <c r="P170" s="1">
        <v>110750000</v>
      </c>
      <c r="Q170" s="47">
        <f t="shared" si="78"/>
        <v>110750000</v>
      </c>
      <c r="R170" s="30"/>
    </row>
    <row r="171" spans="1:18" s="31" customFormat="1" ht="22.5" x14ac:dyDescent="0.2">
      <c r="A171" s="71" t="s">
        <v>434</v>
      </c>
      <c r="B171" s="72" t="s">
        <v>422</v>
      </c>
      <c r="C171" s="72" t="s">
        <v>378</v>
      </c>
      <c r="D171" s="27" t="s">
        <v>423</v>
      </c>
      <c r="E171" s="2"/>
      <c r="F171" s="1"/>
      <c r="G171" s="1"/>
      <c r="H171" s="1"/>
      <c r="I171" s="28"/>
      <c r="J171" s="23">
        <f t="shared" si="68"/>
        <v>219350000</v>
      </c>
      <c r="K171" s="1"/>
      <c r="L171" s="1"/>
      <c r="M171" s="1"/>
      <c r="N171" s="1">
        <f>202990000+16360000</f>
        <v>219350000</v>
      </c>
      <c r="O171" s="1">
        <f>202990000+16360000</f>
        <v>219350000</v>
      </c>
      <c r="P171" s="29">
        <v>202990000</v>
      </c>
      <c r="Q171" s="47">
        <f t="shared" ref="Q171:Q174" si="79">F171+J171</f>
        <v>219350000</v>
      </c>
      <c r="R171" s="30"/>
    </row>
    <row r="172" spans="1:18" s="31" customFormat="1" ht="22.5" x14ac:dyDescent="0.2">
      <c r="A172" s="72" t="s">
        <v>457</v>
      </c>
      <c r="B172" s="72" t="s">
        <v>458</v>
      </c>
      <c r="C172" s="72" t="s">
        <v>378</v>
      </c>
      <c r="D172" s="80" t="s">
        <v>459</v>
      </c>
      <c r="E172" s="2"/>
      <c r="F172" s="1"/>
      <c r="G172" s="1"/>
      <c r="H172" s="1"/>
      <c r="I172" s="28"/>
      <c r="J172" s="23">
        <f>K172+N172</f>
        <v>123240000</v>
      </c>
      <c r="K172" s="1"/>
      <c r="L172" s="1"/>
      <c r="M172" s="1"/>
      <c r="N172" s="1">
        <f>123240000</f>
        <v>123240000</v>
      </c>
      <c r="O172" s="1">
        <f>123240000</f>
        <v>123240000</v>
      </c>
      <c r="P172" s="1"/>
      <c r="Q172" s="47">
        <f>F172+J172</f>
        <v>123240000</v>
      </c>
      <c r="R172" s="30"/>
    </row>
    <row r="173" spans="1:18" s="31" customFormat="1" ht="12" x14ac:dyDescent="0.2">
      <c r="A173" s="71" t="s">
        <v>435</v>
      </c>
      <c r="B173" s="72" t="s">
        <v>436</v>
      </c>
      <c r="C173" s="72" t="s">
        <v>378</v>
      </c>
      <c r="D173" s="27" t="s">
        <v>437</v>
      </c>
      <c r="E173" s="2"/>
      <c r="F173" s="1"/>
      <c r="G173" s="1"/>
      <c r="H173" s="1"/>
      <c r="I173" s="28"/>
      <c r="J173" s="23">
        <f t="shared" si="68"/>
        <v>54400000</v>
      </c>
      <c r="K173" s="1"/>
      <c r="L173" s="1"/>
      <c r="M173" s="1"/>
      <c r="N173" s="1">
        <f>54400000</f>
        <v>54400000</v>
      </c>
      <c r="O173" s="1">
        <f t="shared" ref="O173:P173" si="80">54400000</f>
        <v>54400000</v>
      </c>
      <c r="P173" s="29">
        <f t="shared" si="80"/>
        <v>54400000</v>
      </c>
      <c r="Q173" s="47">
        <f t="shared" si="79"/>
        <v>54400000</v>
      </c>
      <c r="R173" s="30"/>
    </row>
    <row r="174" spans="1:18" s="31" customFormat="1" ht="12" x14ac:dyDescent="0.2">
      <c r="A174" s="71" t="s">
        <v>438</v>
      </c>
      <c r="B174" s="72" t="s">
        <v>439</v>
      </c>
      <c r="C174" s="72" t="s">
        <v>378</v>
      </c>
      <c r="D174" s="27" t="s">
        <v>440</v>
      </c>
      <c r="E174" s="2"/>
      <c r="F174" s="1"/>
      <c r="G174" s="1"/>
      <c r="H174" s="1"/>
      <c r="I174" s="28"/>
      <c r="J174" s="23">
        <f t="shared" si="68"/>
        <v>2000000</v>
      </c>
      <c r="K174" s="1"/>
      <c r="L174" s="1"/>
      <c r="M174" s="1"/>
      <c r="N174" s="1">
        <f>2000000</f>
        <v>2000000</v>
      </c>
      <c r="O174" s="1">
        <f t="shared" ref="O174:P174" si="81">2000000</f>
        <v>2000000</v>
      </c>
      <c r="P174" s="29">
        <f t="shared" si="81"/>
        <v>2000000</v>
      </c>
      <c r="Q174" s="47">
        <f t="shared" si="79"/>
        <v>2000000</v>
      </c>
      <c r="R174" s="30"/>
    </row>
    <row r="175" spans="1:18" s="31" customFormat="1" ht="22.5" x14ac:dyDescent="0.2">
      <c r="A175" s="71" t="s">
        <v>441</v>
      </c>
      <c r="B175" s="72" t="s">
        <v>442</v>
      </c>
      <c r="C175" s="72" t="s">
        <v>378</v>
      </c>
      <c r="D175" s="27" t="s">
        <v>443</v>
      </c>
      <c r="E175" s="2"/>
      <c r="F175" s="1"/>
      <c r="G175" s="1"/>
      <c r="H175" s="1"/>
      <c r="I175" s="28"/>
      <c r="J175" s="23">
        <f t="shared" si="68"/>
        <v>30000000</v>
      </c>
      <c r="K175" s="1"/>
      <c r="L175" s="1"/>
      <c r="M175" s="1"/>
      <c r="N175" s="1">
        <v>30000000</v>
      </c>
      <c r="O175" s="1">
        <v>30000000</v>
      </c>
      <c r="P175" s="29">
        <v>30000000</v>
      </c>
      <c r="Q175" s="47">
        <f t="shared" si="72"/>
        <v>30000000</v>
      </c>
      <c r="R175" s="30"/>
    </row>
    <row r="176" spans="1:18" s="31" customFormat="1" ht="33.75" x14ac:dyDescent="0.2">
      <c r="A176" s="71" t="s">
        <v>444</v>
      </c>
      <c r="B176" s="72" t="s">
        <v>445</v>
      </c>
      <c r="C176" s="72" t="s">
        <v>378</v>
      </c>
      <c r="D176" s="27" t="s">
        <v>446</v>
      </c>
      <c r="E176" s="2"/>
      <c r="F176" s="1"/>
      <c r="G176" s="1"/>
      <c r="H176" s="1"/>
      <c r="I176" s="28"/>
      <c r="J176" s="23">
        <f t="shared" si="68"/>
        <v>2000000</v>
      </c>
      <c r="K176" s="1"/>
      <c r="L176" s="1"/>
      <c r="M176" s="1"/>
      <c r="N176" s="1">
        <v>2000000</v>
      </c>
      <c r="O176" s="1">
        <v>2000000</v>
      </c>
      <c r="P176" s="29">
        <v>2000000</v>
      </c>
      <c r="Q176" s="47">
        <f t="shared" si="72"/>
        <v>2000000</v>
      </c>
      <c r="R176" s="30"/>
    </row>
    <row r="177" spans="1:18" s="31" customFormat="1" ht="22.5" x14ac:dyDescent="0.2">
      <c r="A177" s="71" t="s">
        <v>447</v>
      </c>
      <c r="B177" s="72" t="s">
        <v>410</v>
      </c>
      <c r="C177" s="72" t="s">
        <v>378</v>
      </c>
      <c r="D177" s="27" t="s">
        <v>448</v>
      </c>
      <c r="E177" s="2"/>
      <c r="F177" s="1"/>
      <c r="G177" s="1"/>
      <c r="H177" s="1"/>
      <c r="I177" s="28"/>
      <c r="J177" s="23">
        <f t="shared" si="68"/>
        <v>6000000</v>
      </c>
      <c r="K177" s="1"/>
      <c r="L177" s="1"/>
      <c r="M177" s="1"/>
      <c r="N177" s="1">
        <v>6000000</v>
      </c>
      <c r="O177" s="1">
        <v>6000000</v>
      </c>
      <c r="P177" s="29">
        <v>6000000</v>
      </c>
      <c r="Q177" s="47">
        <f t="shared" si="72"/>
        <v>6000000</v>
      </c>
      <c r="R177" s="30"/>
    </row>
    <row r="178" spans="1:18" s="31" customFormat="1" ht="27.75" customHeight="1" x14ac:dyDescent="0.2">
      <c r="A178" s="32" t="s">
        <v>403</v>
      </c>
      <c r="B178" s="26" t="s">
        <v>196</v>
      </c>
      <c r="C178" s="26" t="s">
        <v>71</v>
      </c>
      <c r="D178" s="27" t="s">
        <v>31</v>
      </c>
      <c r="E178" s="2"/>
      <c r="F178" s="1"/>
      <c r="G178" s="1"/>
      <c r="H178" s="1"/>
      <c r="I178" s="28"/>
      <c r="J178" s="23">
        <f t="shared" si="68"/>
        <v>5000</v>
      </c>
      <c r="K178" s="1">
        <v>5000</v>
      </c>
      <c r="L178" s="1"/>
      <c r="M178" s="1"/>
      <c r="N178" s="1"/>
      <c r="O178" s="1"/>
      <c r="P178" s="29"/>
      <c r="Q178" s="47">
        <f t="shared" si="72"/>
        <v>5000</v>
      </c>
    </row>
    <row r="179" spans="1:18" s="16" customFormat="1" ht="51" customHeight="1" x14ac:dyDescent="0.2">
      <c r="A179" s="40" t="s">
        <v>380</v>
      </c>
      <c r="B179" s="18"/>
      <c r="C179" s="18"/>
      <c r="D179" s="37" t="s">
        <v>86</v>
      </c>
      <c r="E179" s="20">
        <f>E181+E182+E185</f>
        <v>5804200</v>
      </c>
      <c r="F179" s="21">
        <f t="shared" ref="F179:I179" si="82">F181+F182+F185</f>
        <v>5804200</v>
      </c>
      <c r="G179" s="21">
        <f t="shared" si="82"/>
        <v>3622000</v>
      </c>
      <c r="H179" s="21">
        <f t="shared" si="82"/>
        <v>71200</v>
      </c>
      <c r="I179" s="38">
        <f t="shared" si="82"/>
        <v>0</v>
      </c>
      <c r="J179" s="39">
        <f>SUM(J181:J185)</f>
        <v>6600000</v>
      </c>
      <c r="K179" s="21">
        <f t="shared" ref="K179:P179" si="83">SUM(K181:K185)</f>
        <v>0</v>
      </c>
      <c r="L179" s="21">
        <f t="shared" si="83"/>
        <v>0</v>
      </c>
      <c r="M179" s="21">
        <f t="shared" si="83"/>
        <v>0</v>
      </c>
      <c r="N179" s="21">
        <f t="shared" si="83"/>
        <v>6600000</v>
      </c>
      <c r="O179" s="21">
        <f t="shared" si="83"/>
        <v>6600000</v>
      </c>
      <c r="P179" s="24">
        <f t="shared" si="83"/>
        <v>6600000</v>
      </c>
      <c r="Q179" s="25">
        <f>F179+J179</f>
        <v>12404200</v>
      </c>
      <c r="R179" s="15"/>
    </row>
    <row r="180" spans="1:18" s="16" customFormat="1" ht="48.75" customHeight="1" x14ac:dyDescent="0.2">
      <c r="A180" s="40" t="s">
        <v>381</v>
      </c>
      <c r="B180" s="18"/>
      <c r="C180" s="18"/>
      <c r="D180" s="37" t="s">
        <v>86</v>
      </c>
      <c r="E180" s="20"/>
      <c r="F180" s="21"/>
      <c r="G180" s="21"/>
      <c r="H180" s="21"/>
      <c r="I180" s="22"/>
      <c r="J180" s="23"/>
      <c r="K180" s="21"/>
      <c r="L180" s="21"/>
      <c r="M180" s="21"/>
      <c r="N180" s="21"/>
      <c r="O180" s="21"/>
      <c r="P180" s="24"/>
      <c r="Q180" s="47">
        <f>F180+J180</f>
        <v>0</v>
      </c>
    </row>
    <row r="181" spans="1:18" s="31" customFormat="1" ht="36" customHeight="1" x14ac:dyDescent="0.2">
      <c r="A181" s="32" t="s">
        <v>382</v>
      </c>
      <c r="B181" s="26" t="s">
        <v>144</v>
      </c>
      <c r="C181" s="26" t="s">
        <v>79</v>
      </c>
      <c r="D181" s="27" t="s">
        <v>51</v>
      </c>
      <c r="E181" s="2">
        <v>4564200</v>
      </c>
      <c r="F181" s="1">
        <v>4564200</v>
      </c>
      <c r="G181" s="1">
        <v>3622000</v>
      </c>
      <c r="H181" s="1">
        <v>71200</v>
      </c>
      <c r="I181" s="28"/>
      <c r="J181" s="23">
        <f t="shared" si="68"/>
        <v>0</v>
      </c>
      <c r="K181" s="1"/>
      <c r="L181" s="1"/>
      <c r="M181" s="1"/>
      <c r="N181" s="1"/>
      <c r="O181" s="1"/>
      <c r="P181" s="29"/>
      <c r="Q181" s="47">
        <f>F181+J181</f>
        <v>4564200</v>
      </c>
    </row>
    <row r="182" spans="1:18" s="31" customFormat="1" ht="27.75" customHeight="1" x14ac:dyDescent="0.2">
      <c r="A182" s="32" t="s">
        <v>383</v>
      </c>
      <c r="B182" s="26" t="s">
        <v>377</v>
      </c>
      <c r="C182" s="26" t="s">
        <v>378</v>
      </c>
      <c r="D182" s="27" t="s">
        <v>379</v>
      </c>
      <c r="E182" s="2">
        <f>150000+550000+50000+120000+120000+250000</f>
        <v>1240000</v>
      </c>
      <c r="F182" s="1">
        <f>150000+550000+50000+120000+120000+250000</f>
        <v>1240000</v>
      </c>
      <c r="G182" s="1"/>
      <c r="H182" s="1"/>
      <c r="I182" s="28"/>
      <c r="J182" s="23">
        <f t="shared" si="68"/>
        <v>0</v>
      </c>
      <c r="K182" s="1">
        <f>L182+M182</f>
        <v>0</v>
      </c>
      <c r="L182" s="1"/>
      <c r="M182" s="1"/>
      <c r="N182" s="1"/>
      <c r="O182" s="1"/>
      <c r="P182" s="29"/>
      <c r="Q182" s="47">
        <f t="shared" ref="Q182:Q184" si="84">F182+J182</f>
        <v>1240000</v>
      </c>
    </row>
    <row r="183" spans="1:18" s="31" customFormat="1" ht="33" customHeight="1" x14ac:dyDescent="0.2">
      <c r="A183" s="71" t="s">
        <v>449</v>
      </c>
      <c r="B183" s="72" t="s">
        <v>445</v>
      </c>
      <c r="C183" s="72" t="s">
        <v>378</v>
      </c>
      <c r="D183" s="27" t="s">
        <v>446</v>
      </c>
      <c r="E183" s="2"/>
      <c r="F183" s="1"/>
      <c r="G183" s="1"/>
      <c r="H183" s="1"/>
      <c r="I183" s="28"/>
      <c r="J183" s="23">
        <f t="shared" si="68"/>
        <v>1000000</v>
      </c>
      <c r="K183" s="1"/>
      <c r="L183" s="1"/>
      <c r="M183" s="1"/>
      <c r="N183" s="1">
        <v>1000000</v>
      </c>
      <c r="O183" s="1">
        <v>1000000</v>
      </c>
      <c r="P183" s="29">
        <v>1000000</v>
      </c>
      <c r="Q183" s="47">
        <f t="shared" si="84"/>
        <v>1000000</v>
      </c>
    </row>
    <row r="184" spans="1:18" s="31" customFormat="1" ht="27.75" customHeight="1" x14ac:dyDescent="0.2">
      <c r="A184" s="32" t="s">
        <v>409</v>
      </c>
      <c r="B184" s="26" t="s">
        <v>410</v>
      </c>
      <c r="C184" s="26" t="s">
        <v>378</v>
      </c>
      <c r="D184" s="27" t="s">
        <v>411</v>
      </c>
      <c r="E184" s="2"/>
      <c r="F184" s="1"/>
      <c r="G184" s="1"/>
      <c r="H184" s="1"/>
      <c r="I184" s="28"/>
      <c r="J184" s="23">
        <f t="shared" si="68"/>
        <v>5600000</v>
      </c>
      <c r="K184" s="1"/>
      <c r="L184" s="1"/>
      <c r="M184" s="1"/>
      <c r="N184" s="1">
        <v>5600000</v>
      </c>
      <c r="O184" s="1">
        <v>5600000</v>
      </c>
      <c r="P184" s="29">
        <v>5600000</v>
      </c>
      <c r="Q184" s="47">
        <f t="shared" si="84"/>
        <v>5600000</v>
      </c>
    </row>
    <row r="185" spans="1:18" s="31" customFormat="1" ht="83.25" customHeight="1" x14ac:dyDescent="0.2">
      <c r="A185" s="32">
        <v>4817692</v>
      </c>
      <c r="B185" s="26" t="s">
        <v>165</v>
      </c>
      <c r="C185" s="26" t="s">
        <v>91</v>
      </c>
      <c r="D185" s="27" t="s">
        <v>166</v>
      </c>
      <c r="E185" s="2"/>
      <c r="F185" s="1"/>
      <c r="G185" s="1"/>
      <c r="H185" s="1"/>
      <c r="I185" s="28"/>
      <c r="J185" s="23">
        <f t="shared" si="68"/>
        <v>0</v>
      </c>
      <c r="K185" s="1"/>
      <c r="L185" s="1"/>
      <c r="M185" s="1"/>
      <c r="N185" s="1"/>
      <c r="O185" s="1"/>
      <c r="P185" s="29"/>
      <c r="Q185" s="47">
        <f>F185+J185</f>
        <v>0</v>
      </c>
    </row>
    <row r="186" spans="1:18" s="31" customFormat="1" ht="21.95" customHeight="1" x14ac:dyDescent="0.2">
      <c r="A186" s="40" t="s">
        <v>304</v>
      </c>
      <c r="B186" s="26"/>
      <c r="C186" s="26"/>
      <c r="D186" s="19" t="s">
        <v>408</v>
      </c>
      <c r="E186" s="20">
        <f>E188+E190+E191+E194+E189+E193</f>
        <v>17448500</v>
      </c>
      <c r="F186" s="21">
        <f>F188+F190+F191+F194+F189+F193</f>
        <v>17448500</v>
      </c>
      <c r="G186" s="21">
        <f>G188+G190+G191+G194+G189</f>
        <v>1402000</v>
      </c>
      <c r="H186" s="21">
        <f>H188+H190+H191+H194+H189</f>
        <v>10500</v>
      </c>
      <c r="I186" s="22">
        <f>I188+I191+I190+I194+I189</f>
        <v>0</v>
      </c>
      <c r="J186" s="39">
        <f t="shared" ref="J186:P186" si="85">SUM(J188:J194)</f>
        <v>62722000</v>
      </c>
      <c r="K186" s="21">
        <f t="shared" si="85"/>
        <v>0</v>
      </c>
      <c r="L186" s="21">
        <f t="shared" si="85"/>
        <v>0</v>
      </c>
      <c r="M186" s="21">
        <f t="shared" si="85"/>
        <v>0</v>
      </c>
      <c r="N186" s="21">
        <f t="shared" si="85"/>
        <v>62722000</v>
      </c>
      <c r="O186" s="21">
        <f t="shared" si="85"/>
        <v>62722000</v>
      </c>
      <c r="P186" s="24">
        <f t="shared" si="85"/>
        <v>62722000</v>
      </c>
      <c r="Q186" s="25">
        <f>F186+J186</f>
        <v>80170500</v>
      </c>
      <c r="R186" s="30"/>
    </row>
    <row r="187" spans="1:18" s="31" customFormat="1" ht="21.95" customHeight="1" x14ac:dyDescent="0.2">
      <c r="A187" s="40" t="s">
        <v>305</v>
      </c>
      <c r="B187" s="26"/>
      <c r="C187" s="26"/>
      <c r="D187" s="19" t="s">
        <v>408</v>
      </c>
      <c r="E187" s="2"/>
      <c r="F187" s="1"/>
      <c r="G187" s="1"/>
      <c r="H187" s="1"/>
      <c r="I187" s="28"/>
      <c r="J187" s="23"/>
      <c r="K187" s="1"/>
      <c r="L187" s="1"/>
      <c r="M187" s="1"/>
      <c r="N187" s="1"/>
      <c r="O187" s="1"/>
      <c r="P187" s="29"/>
      <c r="Q187" s="47"/>
    </row>
    <row r="188" spans="1:18" s="31" customFormat="1" ht="23.25" customHeight="1" x14ac:dyDescent="0.2">
      <c r="A188" s="81" t="s">
        <v>306</v>
      </c>
      <c r="B188" s="26" t="s">
        <v>144</v>
      </c>
      <c r="C188" s="26" t="s">
        <v>79</v>
      </c>
      <c r="D188" s="27" t="s">
        <v>62</v>
      </c>
      <c r="E188" s="2">
        <v>1798500</v>
      </c>
      <c r="F188" s="1">
        <v>1798500</v>
      </c>
      <c r="G188" s="1">
        <v>1402000</v>
      </c>
      <c r="H188" s="1">
        <v>10500</v>
      </c>
      <c r="I188" s="28"/>
      <c r="J188" s="23">
        <f t="shared" si="68"/>
        <v>143000</v>
      </c>
      <c r="K188" s="1"/>
      <c r="L188" s="1"/>
      <c r="M188" s="1"/>
      <c r="N188" s="1">
        <f>143000</f>
        <v>143000</v>
      </c>
      <c r="O188" s="1">
        <f t="shared" ref="O188:P188" si="86">143000</f>
        <v>143000</v>
      </c>
      <c r="P188" s="29">
        <f t="shared" si="86"/>
        <v>143000</v>
      </c>
      <c r="Q188" s="47">
        <f t="shared" ref="Q188:Q200" si="87">F188+J188</f>
        <v>1941500</v>
      </c>
    </row>
    <row r="189" spans="1:18" s="31" customFormat="1" ht="21.95" customHeight="1" x14ac:dyDescent="0.2">
      <c r="A189" s="32" t="s">
        <v>404</v>
      </c>
      <c r="B189" s="26" t="s">
        <v>61</v>
      </c>
      <c r="C189" s="26" t="s">
        <v>66</v>
      </c>
      <c r="D189" s="36" t="s">
        <v>316</v>
      </c>
      <c r="E189" s="2">
        <v>250000</v>
      </c>
      <c r="F189" s="1">
        <v>250000</v>
      </c>
      <c r="G189" s="1"/>
      <c r="H189" s="1"/>
      <c r="I189" s="28"/>
      <c r="J189" s="23">
        <f>K189+N189</f>
        <v>0</v>
      </c>
      <c r="K189" s="1"/>
      <c r="L189" s="1"/>
      <c r="M189" s="1"/>
      <c r="N189" s="1"/>
      <c r="O189" s="1"/>
      <c r="P189" s="29"/>
      <c r="Q189" s="47">
        <f>F189+J189</f>
        <v>250000</v>
      </c>
    </row>
    <row r="190" spans="1:18" s="31" customFormat="1" ht="21.95" customHeight="1" x14ac:dyDescent="0.2">
      <c r="A190" s="81" t="s">
        <v>307</v>
      </c>
      <c r="B190" s="26" t="s">
        <v>194</v>
      </c>
      <c r="C190" s="26" t="s">
        <v>90</v>
      </c>
      <c r="D190" s="27" t="s">
        <v>195</v>
      </c>
      <c r="E190" s="2">
        <v>400000</v>
      </c>
      <c r="F190" s="1">
        <v>400000</v>
      </c>
      <c r="G190" s="1"/>
      <c r="H190" s="1"/>
      <c r="I190" s="28"/>
      <c r="J190" s="23">
        <f t="shared" si="68"/>
        <v>18179000</v>
      </c>
      <c r="K190" s="1"/>
      <c r="L190" s="1"/>
      <c r="M190" s="1"/>
      <c r="N190" s="1">
        <f>18179000</f>
        <v>18179000</v>
      </c>
      <c r="O190" s="1">
        <f t="shared" ref="O190:P190" si="88">18179000</f>
        <v>18179000</v>
      </c>
      <c r="P190" s="29">
        <f t="shared" si="88"/>
        <v>18179000</v>
      </c>
      <c r="Q190" s="47">
        <f t="shared" si="87"/>
        <v>18579000</v>
      </c>
    </row>
    <row r="191" spans="1:18" s="31" customFormat="1" ht="21.95" hidden="1" customHeight="1" x14ac:dyDescent="0.2">
      <c r="A191" s="81">
        <v>6516310</v>
      </c>
      <c r="B191" s="26">
        <v>6310</v>
      </c>
      <c r="C191" s="26" t="s">
        <v>91</v>
      </c>
      <c r="D191" s="27" t="s">
        <v>45</v>
      </c>
      <c r="E191" s="2"/>
      <c r="F191" s="1"/>
      <c r="G191" s="1"/>
      <c r="H191" s="1"/>
      <c r="I191" s="28"/>
      <c r="J191" s="23">
        <f t="shared" si="68"/>
        <v>0</v>
      </c>
      <c r="K191" s="1"/>
      <c r="L191" s="1"/>
      <c r="M191" s="1"/>
      <c r="N191" s="1"/>
      <c r="O191" s="1"/>
      <c r="P191" s="29"/>
      <c r="Q191" s="47">
        <f t="shared" si="87"/>
        <v>0</v>
      </c>
    </row>
    <row r="192" spans="1:18" s="31" customFormat="1" ht="21.95" customHeight="1" x14ac:dyDescent="0.2">
      <c r="A192" s="81" t="s">
        <v>450</v>
      </c>
      <c r="B192" s="72" t="s">
        <v>422</v>
      </c>
      <c r="C192" s="72" t="s">
        <v>378</v>
      </c>
      <c r="D192" s="27" t="s">
        <v>423</v>
      </c>
      <c r="E192" s="2"/>
      <c r="F192" s="1"/>
      <c r="G192" s="1"/>
      <c r="H192" s="1"/>
      <c r="I192" s="28"/>
      <c r="J192" s="23">
        <f t="shared" si="68"/>
        <v>5000000</v>
      </c>
      <c r="K192" s="1"/>
      <c r="L192" s="1"/>
      <c r="M192" s="1"/>
      <c r="N192" s="1">
        <f>5000000</f>
        <v>5000000</v>
      </c>
      <c r="O192" s="1">
        <f t="shared" ref="O192:P192" si="89">5000000</f>
        <v>5000000</v>
      </c>
      <c r="P192" s="29">
        <f t="shared" si="89"/>
        <v>5000000</v>
      </c>
      <c r="Q192" s="47">
        <f t="shared" si="87"/>
        <v>5000000</v>
      </c>
    </row>
    <row r="193" spans="1:18" s="31" customFormat="1" ht="22.5" x14ac:dyDescent="0.2">
      <c r="A193" s="81" t="s">
        <v>414</v>
      </c>
      <c r="B193" s="26" t="s">
        <v>415</v>
      </c>
      <c r="C193" s="26" t="s">
        <v>412</v>
      </c>
      <c r="D193" s="27" t="s">
        <v>416</v>
      </c>
      <c r="E193" s="2">
        <v>15000000</v>
      </c>
      <c r="F193" s="1">
        <v>15000000</v>
      </c>
      <c r="G193" s="1"/>
      <c r="H193" s="1"/>
      <c r="I193" s="28"/>
      <c r="J193" s="23">
        <f t="shared" si="68"/>
        <v>0</v>
      </c>
      <c r="K193" s="1"/>
      <c r="L193" s="1"/>
      <c r="M193" s="1"/>
      <c r="N193" s="1"/>
      <c r="O193" s="1"/>
      <c r="P193" s="29"/>
      <c r="Q193" s="47">
        <f t="shared" si="87"/>
        <v>15000000</v>
      </c>
    </row>
    <row r="194" spans="1:18" s="31" customFormat="1" ht="21.95" customHeight="1" x14ac:dyDescent="0.2">
      <c r="A194" s="81" t="s">
        <v>308</v>
      </c>
      <c r="B194" s="26" t="s">
        <v>169</v>
      </c>
      <c r="C194" s="26" t="s">
        <v>91</v>
      </c>
      <c r="D194" s="27" t="s">
        <v>50</v>
      </c>
      <c r="E194" s="2"/>
      <c r="F194" s="1"/>
      <c r="G194" s="1"/>
      <c r="H194" s="1"/>
      <c r="I194" s="28"/>
      <c r="J194" s="23">
        <f t="shared" si="68"/>
        <v>39400000</v>
      </c>
      <c r="K194" s="1"/>
      <c r="L194" s="1"/>
      <c r="M194" s="1"/>
      <c r="N194" s="1">
        <f>39400000</f>
        <v>39400000</v>
      </c>
      <c r="O194" s="1">
        <f t="shared" ref="O194:P194" si="90">39400000</f>
        <v>39400000</v>
      </c>
      <c r="P194" s="29">
        <f t="shared" si="90"/>
        <v>39400000</v>
      </c>
      <c r="Q194" s="47">
        <f t="shared" si="87"/>
        <v>39400000</v>
      </c>
    </row>
    <row r="195" spans="1:18" s="16" customFormat="1" ht="23.25" customHeight="1" x14ac:dyDescent="0.2">
      <c r="A195" s="40" t="s">
        <v>364</v>
      </c>
      <c r="B195" s="18"/>
      <c r="C195" s="18"/>
      <c r="D195" s="19" t="s">
        <v>34</v>
      </c>
      <c r="E195" s="20">
        <f>E197+E198+E199+E200+E201+E203+E205</f>
        <v>8879000</v>
      </c>
      <c r="F195" s="21">
        <f t="shared" ref="F195:H195" si="91">F197+F198+F199+F200+F201+F203+F205</f>
        <v>8879000</v>
      </c>
      <c r="G195" s="21">
        <f t="shared" si="91"/>
        <v>3827000</v>
      </c>
      <c r="H195" s="21">
        <f t="shared" si="91"/>
        <v>57000</v>
      </c>
      <c r="I195" s="38">
        <f t="shared" ref="I195:P195" si="92">I197+I198+I199+I200</f>
        <v>0</v>
      </c>
      <c r="J195" s="39">
        <f t="shared" si="92"/>
        <v>0</v>
      </c>
      <c r="K195" s="21">
        <f t="shared" si="92"/>
        <v>0</v>
      </c>
      <c r="L195" s="21">
        <f t="shared" si="92"/>
        <v>0</v>
      </c>
      <c r="M195" s="21">
        <f t="shared" si="92"/>
        <v>0</v>
      </c>
      <c r="N195" s="21">
        <f t="shared" si="92"/>
        <v>0</v>
      </c>
      <c r="O195" s="21">
        <f t="shared" si="92"/>
        <v>0</v>
      </c>
      <c r="P195" s="24">
        <f t="shared" si="92"/>
        <v>0</v>
      </c>
      <c r="Q195" s="25">
        <f>F195+J195</f>
        <v>8879000</v>
      </c>
      <c r="R195" s="15"/>
    </row>
    <row r="196" spans="1:18" s="16" customFormat="1" ht="26.25" customHeight="1" x14ac:dyDescent="0.2">
      <c r="A196" s="40" t="s">
        <v>351</v>
      </c>
      <c r="B196" s="18"/>
      <c r="C196" s="18"/>
      <c r="D196" s="19" t="s">
        <v>34</v>
      </c>
      <c r="E196" s="20"/>
      <c r="F196" s="21"/>
      <c r="G196" s="21"/>
      <c r="H196" s="21"/>
      <c r="I196" s="22"/>
      <c r="J196" s="23">
        <f t="shared" si="68"/>
        <v>0</v>
      </c>
      <c r="K196" s="21"/>
      <c r="L196" s="21"/>
      <c r="M196" s="21"/>
      <c r="N196" s="21"/>
      <c r="O196" s="21"/>
      <c r="P196" s="24"/>
      <c r="Q196" s="47"/>
    </row>
    <row r="197" spans="1:18" s="31" customFormat="1" ht="33.75" x14ac:dyDescent="0.2">
      <c r="A197" s="32" t="s">
        <v>352</v>
      </c>
      <c r="B197" s="26" t="s">
        <v>144</v>
      </c>
      <c r="C197" s="26" t="s">
        <v>79</v>
      </c>
      <c r="D197" s="27" t="s">
        <v>52</v>
      </c>
      <c r="E197" s="2">
        <v>4799000</v>
      </c>
      <c r="F197" s="1">
        <v>4799000</v>
      </c>
      <c r="G197" s="1">
        <v>3827000</v>
      </c>
      <c r="H197" s="1">
        <v>57000</v>
      </c>
      <c r="I197" s="28"/>
      <c r="J197" s="23">
        <f t="shared" si="68"/>
        <v>0</v>
      </c>
      <c r="K197" s="1"/>
      <c r="L197" s="1"/>
      <c r="M197" s="1"/>
      <c r="N197" s="1"/>
      <c r="O197" s="1"/>
      <c r="P197" s="29"/>
      <c r="Q197" s="47">
        <f t="shared" si="87"/>
        <v>4799000</v>
      </c>
    </row>
    <row r="198" spans="1:18" s="31" customFormat="1" ht="21.95" hidden="1" customHeight="1" x14ac:dyDescent="0.2">
      <c r="A198" s="81">
        <v>7316310</v>
      </c>
      <c r="B198" s="26">
        <v>6310</v>
      </c>
      <c r="C198" s="26" t="s">
        <v>91</v>
      </c>
      <c r="D198" s="27" t="s">
        <v>45</v>
      </c>
      <c r="E198" s="2"/>
      <c r="F198" s="1"/>
      <c r="G198" s="1"/>
      <c r="H198" s="1"/>
      <c r="I198" s="28"/>
      <c r="J198" s="23">
        <f>K198+N198</f>
        <v>0</v>
      </c>
      <c r="K198" s="1"/>
      <c r="L198" s="1"/>
      <c r="M198" s="1"/>
      <c r="N198" s="1"/>
      <c r="O198" s="1"/>
      <c r="P198" s="29"/>
      <c r="Q198" s="47">
        <f t="shared" si="87"/>
        <v>0</v>
      </c>
    </row>
    <row r="199" spans="1:18" s="31" customFormat="1" ht="29.25" customHeight="1" x14ac:dyDescent="0.2">
      <c r="A199" s="32" t="s">
        <v>353</v>
      </c>
      <c r="B199" s="26" t="s">
        <v>197</v>
      </c>
      <c r="C199" s="26" t="s">
        <v>91</v>
      </c>
      <c r="D199" s="27" t="s">
        <v>198</v>
      </c>
      <c r="E199" s="2">
        <v>950000</v>
      </c>
      <c r="F199" s="1">
        <v>950000</v>
      </c>
      <c r="G199" s="1"/>
      <c r="H199" s="1"/>
      <c r="I199" s="28"/>
      <c r="J199" s="23">
        <f t="shared" si="68"/>
        <v>0</v>
      </c>
      <c r="K199" s="1"/>
      <c r="L199" s="1"/>
      <c r="M199" s="1"/>
      <c r="N199" s="1"/>
      <c r="O199" s="1"/>
      <c r="P199" s="29"/>
      <c r="Q199" s="47">
        <f t="shared" si="87"/>
        <v>950000</v>
      </c>
    </row>
    <row r="200" spans="1:18" s="31" customFormat="1" ht="25.5" customHeight="1" x14ac:dyDescent="0.2">
      <c r="A200" s="32" t="s">
        <v>363</v>
      </c>
      <c r="B200" s="26" t="s">
        <v>199</v>
      </c>
      <c r="C200" s="26" t="s">
        <v>92</v>
      </c>
      <c r="D200" s="27" t="s">
        <v>35</v>
      </c>
      <c r="E200" s="2">
        <v>850000</v>
      </c>
      <c r="F200" s="1">
        <v>850000</v>
      </c>
      <c r="G200" s="1"/>
      <c r="H200" s="1"/>
      <c r="I200" s="28"/>
      <c r="J200" s="23">
        <f t="shared" si="68"/>
        <v>0</v>
      </c>
      <c r="K200" s="1"/>
      <c r="L200" s="1"/>
      <c r="M200" s="1"/>
      <c r="N200" s="1"/>
      <c r="O200" s="1"/>
      <c r="P200" s="29"/>
      <c r="Q200" s="47">
        <f t="shared" si="87"/>
        <v>850000</v>
      </c>
    </row>
    <row r="201" spans="1:18" s="31" customFormat="1" ht="22.5" customHeight="1" x14ac:dyDescent="0.2">
      <c r="A201" s="32" t="s">
        <v>358</v>
      </c>
      <c r="B201" s="26" t="s">
        <v>359</v>
      </c>
      <c r="C201" s="26" t="s">
        <v>348</v>
      </c>
      <c r="D201" s="33" t="s">
        <v>357</v>
      </c>
      <c r="E201" s="2">
        <v>150000</v>
      </c>
      <c r="F201" s="1">
        <v>150000</v>
      </c>
      <c r="G201" s="1"/>
      <c r="H201" s="1"/>
      <c r="I201" s="28"/>
      <c r="J201" s="23">
        <f t="shared" si="68"/>
        <v>0</v>
      </c>
      <c r="K201" s="1"/>
      <c r="L201" s="1"/>
      <c r="M201" s="1"/>
      <c r="N201" s="1"/>
      <c r="O201" s="1"/>
      <c r="P201" s="29"/>
      <c r="Q201" s="47">
        <f>F201+J201</f>
        <v>150000</v>
      </c>
    </row>
    <row r="202" spans="1:18" s="31" customFormat="1" ht="39" customHeight="1" x14ac:dyDescent="0.2">
      <c r="A202" s="32"/>
      <c r="B202" s="26"/>
      <c r="C202" s="26"/>
      <c r="D202" s="33" t="s">
        <v>362</v>
      </c>
      <c r="E202" s="2">
        <v>150000</v>
      </c>
      <c r="F202" s="1">
        <v>150000</v>
      </c>
      <c r="G202" s="1"/>
      <c r="H202" s="1"/>
      <c r="I202" s="28"/>
      <c r="J202" s="23"/>
      <c r="K202" s="1"/>
      <c r="L202" s="1"/>
      <c r="M202" s="1"/>
      <c r="N202" s="1"/>
      <c r="O202" s="1"/>
      <c r="P202" s="29"/>
      <c r="Q202" s="47">
        <f t="shared" ref="Q202:Q207" si="93">F202+J202</f>
        <v>150000</v>
      </c>
    </row>
    <row r="203" spans="1:18" s="31" customFormat="1" ht="31.5" customHeight="1" x14ac:dyDescent="0.2">
      <c r="A203" s="32" t="s">
        <v>350</v>
      </c>
      <c r="B203" s="26" t="s">
        <v>347</v>
      </c>
      <c r="C203" s="26" t="s">
        <v>348</v>
      </c>
      <c r="D203" s="33" t="s">
        <v>354</v>
      </c>
      <c r="E203" s="2">
        <v>350000</v>
      </c>
      <c r="F203" s="1">
        <v>350000</v>
      </c>
      <c r="G203" s="1"/>
      <c r="H203" s="1"/>
      <c r="I203" s="28"/>
      <c r="J203" s="23">
        <f t="shared" si="68"/>
        <v>0</v>
      </c>
      <c r="K203" s="1"/>
      <c r="L203" s="1"/>
      <c r="M203" s="1"/>
      <c r="N203" s="1"/>
      <c r="O203" s="1"/>
      <c r="P203" s="29"/>
      <c r="Q203" s="47">
        <f t="shared" si="93"/>
        <v>350000</v>
      </c>
    </row>
    <row r="204" spans="1:18" s="31" customFormat="1" ht="39.75" customHeight="1" x14ac:dyDescent="0.2">
      <c r="A204" s="32"/>
      <c r="B204" s="26"/>
      <c r="C204" s="26"/>
      <c r="D204" s="33" t="s">
        <v>349</v>
      </c>
      <c r="E204" s="2">
        <v>350000</v>
      </c>
      <c r="F204" s="1">
        <v>350000</v>
      </c>
      <c r="G204" s="1"/>
      <c r="H204" s="1"/>
      <c r="I204" s="28"/>
      <c r="J204" s="23"/>
      <c r="K204" s="1"/>
      <c r="L204" s="1"/>
      <c r="M204" s="1"/>
      <c r="N204" s="1"/>
      <c r="O204" s="1"/>
      <c r="P204" s="29"/>
      <c r="Q204" s="47">
        <f t="shared" si="93"/>
        <v>350000</v>
      </c>
    </row>
    <row r="205" spans="1:18" s="31" customFormat="1" ht="30.75" customHeight="1" x14ac:dyDescent="0.2">
      <c r="A205" s="32" t="s">
        <v>356</v>
      </c>
      <c r="B205" s="82" t="s">
        <v>355</v>
      </c>
      <c r="C205" s="26" t="s">
        <v>91</v>
      </c>
      <c r="D205" s="83" t="s">
        <v>360</v>
      </c>
      <c r="E205" s="2">
        <f>E207+E208+E209+E210</f>
        <v>1780000</v>
      </c>
      <c r="F205" s="1">
        <f t="shared" ref="F205:H205" si="94">F207+F208+F209+F210</f>
        <v>1780000</v>
      </c>
      <c r="G205" s="1">
        <f t="shared" si="94"/>
        <v>0</v>
      </c>
      <c r="H205" s="1">
        <f t="shared" si="94"/>
        <v>0</v>
      </c>
      <c r="I205" s="28"/>
      <c r="J205" s="23">
        <f t="shared" si="68"/>
        <v>0</v>
      </c>
      <c r="K205" s="1"/>
      <c r="L205" s="1"/>
      <c r="M205" s="1"/>
      <c r="N205" s="1"/>
      <c r="O205" s="1"/>
      <c r="P205" s="29"/>
      <c r="Q205" s="47">
        <f t="shared" si="93"/>
        <v>1780000</v>
      </c>
    </row>
    <row r="206" spans="1:18" s="31" customFormat="1" ht="13.5" customHeight="1" x14ac:dyDescent="0.2">
      <c r="A206" s="32"/>
      <c r="B206" s="82"/>
      <c r="C206" s="26"/>
      <c r="D206" s="83" t="s">
        <v>361</v>
      </c>
      <c r="E206" s="2"/>
      <c r="F206" s="1"/>
      <c r="G206" s="1"/>
      <c r="H206" s="1"/>
      <c r="I206" s="28"/>
      <c r="J206" s="23"/>
      <c r="K206" s="1"/>
      <c r="L206" s="1"/>
      <c r="M206" s="1"/>
      <c r="N206" s="1"/>
      <c r="O206" s="1"/>
      <c r="P206" s="29"/>
      <c r="Q206" s="47"/>
    </row>
    <row r="207" spans="1:18" s="31" customFormat="1" ht="42" customHeight="1" x14ac:dyDescent="0.2">
      <c r="A207" s="32"/>
      <c r="B207" s="82"/>
      <c r="C207" s="26"/>
      <c r="D207" s="83" t="s">
        <v>94</v>
      </c>
      <c r="E207" s="2">
        <v>400000</v>
      </c>
      <c r="F207" s="1">
        <v>400000</v>
      </c>
      <c r="G207" s="1"/>
      <c r="H207" s="1"/>
      <c r="I207" s="28"/>
      <c r="J207" s="23"/>
      <c r="K207" s="1"/>
      <c r="L207" s="1"/>
      <c r="M207" s="1"/>
      <c r="N207" s="1"/>
      <c r="O207" s="1"/>
      <c r="P207" s="29"/>
      <c r="Q207" s="47">
        <f t="shared" si="93"/>
        <v>400000</v>
      </c>
    </row>
    <row r="208" spans="1:18" s="31" customFormat="1" ht="41.25" customHeight="1" x14ac:dyDescent="0.2">
      <c r="A208" s="32"/>
      <c r="B208" s="26"/>
      <c r="C208" s="26"/>
      <c r="D208" s="33" t="s">
        <v>460</v>
      </c>
      <c r="E208" s="2">
        <v>700000</v>
      </c>
      <c r="F208" s="1">
        <v>700000</v>
      </c>
      <c r="G208" s="1"/>
      <c r="H208" s="1"/>
      <c r="I208" s="28"/>
      <c r="J208" s="23">
        <f>K208+N208</f>
        <v>0</v>
      </c>
      <c r="K208" s="1"/>
      <c r="L208" s="1"/>
      <c r="M208" s="1"/>
      <c r="N208" s="1"/>
      <c r="O208" s="1"/>
      <c r="P208" s="29"/>
      <c r="Q208" s="47">
        <f>F208+J208</f>
        <v>700000</v>
      </c>
    </row>
    <row r="209" spans="1:18" s="31" customFormat="1" ht="32.25" customHeight="1" x14ac:dyDescent="0.2">
      <c r="A209" s="32"/>
      <c r="B209" s="26"/>
      <c r="C209" s="26"/>
      <c r="D209" s="33" t="s">
        <v>93</v>
      </c>
      <c r="E209" s="2">
        <v>580000</v>
      </c>
      <c r="F209" s="1">
        <v>580000</v>
      </c>
      <c r="G209" s="1"/>
      <c r="H209" s="1"/>
      <c r="I209" s="28"/>
      <c r="J209" s="23">
        <f>K209+N209</f>
        <v>0</v>
      </c>
      <c r="K209" s="1"/>
      <c r="L209" s="1"/>
      <c r="M209" s="1"/>
      <c r="N209" s="1"/>
      <c r="O209" s="1"/>
      <c r="P209" s="29"/>
      <c r="Q209" s="47">
        <f>F209+J209</f>
        <v>580000</v>
      </c>
    </row>
    <row r="210" spans="1:18" s="31" customFormat="1" ht="54" customHeight="1" x14ac:dyDescent="0.2">
      <c r="A210" s="32"/>
      <c r="B210" s="26"/>
      <c r="C210" s="26"/>
      <c r="D210" s="83" t="s">
        <v>130</v>
      </c>
      <c r="E210" s="2">
        <v>100000</v>
      </c>
      <c r="F210" s="1">
        <v>100000</v>
      </c>
      <c r="G210" s="1"/>
      <c r="H210" s="1"/>
      <c r="I210" s="28"/>
      <c r="J210" s="23"/>
      <c r="K210" s="1"/>
      <c r="L210" s="1"/>
      <c r="M210" s="1"/>
      <c r="N210" s="1"/>
      <c r="O210" s="1"/>
      <c r="P210" s="29"/>
      <c r="Q210" s="47">
        <f t="shared" ref="Q210:Q221" si="95">F210+J210</f>
        <v>100000</v>
      </c>
    </row>
    <row r="211" spans="1:18" s="16" customFormat="1" ht="33" customHeight="1" x14ac:dyDescent="0.2">
      <c r="A211" s="40" t="s">
        <v>365</v>
      </c>
      <c r="B211" s="18"/>
      <c r="C211" s="18"/>
      <c r="D211" s="37" t="s">
        <v>78</v>
      </c>
      <c r="E211" s="20">
        <f>E213+E214+E215+E216</f>
        <v>8136000</v>
      </c>
      <c r="F211" s="21">
        <f t="shared" ref="F211:H211" si="96">F213+F214+F215+F216</f>
        <v>8136000</v>
      </c>
      <c r="G211" s="21">
        <f t="shared" si="96"/>
        <v>5978000</v>
      </c>
      <c r="H211" s="21">
        <f t="shared" si="96"/>
        <v>66000</v>
      </c>
      <c r="I211" s="22">
        <f>I213+I214+I216</f>
        <v>0</v>
      </c>
      <c r="J211" s="39">
        <f t="shared" ref="J211:P211" si="97">J213+J214+J216</f>
        <v>0</v>
      </c>
      <c r="K211" s="21">
        <f t="shared" si="97"/>
        <v>0</v>
      </c>
      <c r="L211" s="21">
        <f t="shared" si="97"/>
        <v>0</v>
      </c>
      <c r="M211" s="21">
        <f t="shared" si="97"/>
        <v>0</v>
      </c>
      <c r="N211" s="21">
        <f t="shared" si="97"/>
        <v>0</v>
      </c>
      <c r="O211" s="21">
        <f t="shared" si="97"/>
        <v>0</v>
      </c>
      <c r="P211" s="24">
        <f t="shared" si="97"/>
        <v>0</v>
      </c>
      <c r="Q211" s="25">
        <f>F211+J211</f>
        <v>8136000</v>
      </c>
      <c r="R211" s="15"/>
    </row>
    <row r="212" spans="1:18" s="16" customFormat="1" ht="33" customHeight="1" x14ac:dyDescent="0.2">
      <c r="A212" s="40" t="s">
        <v>366</v>
      </c>
      <c r="B212" s="18"/>
      <c r="C212" s="18"/>
      <c r="D212" s="37" t="s">
        <v>78</v>
      </c>
      <c r="E212" s="20"/>
      <c r="F212" s="21"/>
      <c r="G212" s="21"/>
      <c r="H212" s="21"/>
      <c r="I212" s="22"/>
      <c r="J212" s="23">
        <f>K212+N212</f>
        <v>0</v>
      </c>
      <c r="K212" s="21"/>
      <c r="L212" s="21"/>
      <c r="M212" s="21"/>
      <c r="N212" s="21"/>
      <c r="O212" s="21"/>
      <c r="P212" s="24"/>
      <c r="Q212" s="47"/>
    </row>
    <row r="213" spans="1:18" s="31" customFormat="1" ht="22.5" x14ac:dyDescent="0.2">
      <c r="A213" s="32" t="s">
        <v>367</v>
      </c>
      <c r="B213" s="26" t="s">
        <v>144</v>
      </c>
      <c r="C213" s="26" t="s">
        <v>79</v>
      </c>
      <c r="D213" s="27" t="s">
        <v>85</v>
      </c>
      <c r="E213" s="2">
        <v>7691000</v>
      </c>
      <c r="F213" s="1">
        <v>7691000</v>
      </c>
      <c r="G213" s="1">
        <v>5978000</v>
      </c>
      <c r="H213" s="1">
        <v>66000</v>
      </c>
      <c r="I213" s="28"/>
      <c r="J213" s="23">
        <f>K213+N213</f>
        <v>0</v>
      </c>
      <c r="K213" s="1"/>
      <c r="L213" s="1"/>
      <c r="M213" s="1"/>
      <c r="N213" s="1"/>
      <c r="O213" s="1"/>
      <c r="P213" s="29"/>
      <c r="Q213" s="47">
        <f>F213+J213</f>
        <v>7691000</v>
      </c>
    </row>
    <row r="214" spans="1:18" s="31" customFormat="1" ht="21.95" customHeight="1" x14ac:dyDescent="0.2">
      <c r="A214" s="32" t="s">
        <v>368</v>
      </c>
      <c r="B214" s="26" t="s">
        <v>369</v>
      </c>
      <c r="C214" s="26" t="s">
        <v>370</v>
      </c>
      <c r="D214" s="27" t="s">
        <v>371</v>
      </c>
      <c r="E214" s="2">
        <f>25000+50000+250000+10000</f>
        <v>335000</v>
      </c>
      <c r="F214" s="1">
        <f>25000+50000+250000+10000</f>
        <v>335000</v>
      </c>
      <c r="G214" s="1"/>
      <c r="H214" s="1"/>
      <c r="I214" s="28"/>
      <c r="J214" s="23">
        <f>K214+N214</f>
        <v>0</v>
      </c>
      <c r="K214" s="1">
        <f>L214+M214</f>
        <v>0</v>
      </c>
      <c r="L214" s="1"/>
      <c r="M214" s="1"/>
      <c r="N214" s="1"/>
      <c r="O214" s="1"/>
      <c r="P214" s="29"/>
      <c r="Q214" s="47">
        <f>F214+J214</f>
        <v>335000</v>
      </c>
    </row>
    <row r="215" spans="1:18" s="31" customFormat="1" ht="51" customHeight="1" x14ac:dyDescent="0.2">
      <c r="A215" s="32" t="s">
        <v>372</v>
      </c>
      <c r="B215" s="26" t="s">
        <v>373</v>
      </c>
      <c r="C215" s="26" t="s">
        <v>91</v>
      </c>
      <c r="D215" s="27" t="s">
        <v>374</v>
      </c>
      <c r="E215" s="2">
        <v>75000</v>
      </c>
      <c r="F215" s="1">
        <v>75000</v>
      </c>
      <c r="G215" s="1"/>
      <c r="H215" s="1"/>
      <c r="I215" s="28"/>
      <c r="J215" s="23"/>
      <c r="K215" s="1"/>
      <c r="L215" s="1"/>
      <c r="M215" s="1"/>
      <c r="N215" s="1"/>
      <c r="O215" s="1"/>
      <c r="P215" s="29"/>
      <c r="Q215" s="47">
        <f>F215+J215</f>
        <v>75000</v>
      </c>
    </row>
    <row r="216" spans="1:18" s="31" customFormat="1" ht="20.25" customHeight="1" x14ac:dyDescent="0.2">
      <c r="A216" s="32" t="s">
        <v>375</v>
      </c>
      <c r="B216" s="26" t="s">
        <v>61</v>
      </c>
      <c r="C216" s="26" t="s">
        <v>61</v>
      </c>
      <c r="D216" s="27" t="s">
        <v>316</v>
      </c>
      <c r="E216" s="2">
        <f>15000+20000</f>
        <v>35000</v>
      </c>
      <c r="F216" s="1">
        <f>15000+20000</f>
        <v>35000</v>
      </c>
      <c r="G216" s="1"/>
      <c r="H216" s="1"/>
      <c r="I216" s="28"/>
      <c r="J216" s="23">
        <f>K216+N216</f>
        <v>0</v>
      </c>
      <c r="K216" s="1">
        <f>L216+M216</f>
        <v>0</v>
      </c>
      <c r="L216" s="1"/>
      <c r="M216" s="1"/>
      <c r="N216" s="1"/>
      <c r="O216" s="1"/>
      <c r="P216" s="29"/>
      <c r="Q216" s="47">
        <f>F216+J216</f>
        <v>35000</v>
      </c>
    </row>
    <row r="217" spans="1:18" s="16" customFormat="1" ht="21.95" customHeight="1" x14ac:dyDescent="0.2">
      <c r="A217" s="40" t="s">
        <v>230</v>
      </c>
      <c r="B217" s="18"/>
      <c r="C217" s="18"/>
      <c r="D217" s="19" t="s">
        <v>36</v>
      </c>
      <c r="E217" s="20">
        <f>E219+E220+E221+E227+E228+E229+E230</f>
        <v>80255900</v>
      </c>
      <c r="F217" s="21">
        <f>F219+F220+F221+F227+F228+F229+F230</f>
        <v>80255900</v>
      </c>
      <c r="G217" s="21">
        <f t="shared" ref="G217:H217" si="98">G219+G220+G221</f>
        <v>5543000</v>
      </c>
      <c r="H217" s="21">
        <f t="shared" si="98"/>
        <v>185000</v>
      </c>
      <c r="I217" s="22">
        <f>I219+I220+I221</f>
        <v>0</v>
      </c>
      <c r="J217" s="39">
        <f>J219+J220+J221+J227+J228+J229+J230</f>
        <v>8450000</v>
      </c>
      <c r="K217" s="21">
        <f t="shared" ref="K217:P217" si="99">K219+K220+K221+K227+K228+K229+K230</f>
        <v>0</v>
      </c>
      <c r="L217" s="21">
        <f t="shared" si="99"/>
        <v>0</v>
      </c>
      <c r="M217" s="21">
        <f t="shared" si="99"/>
        <v>0</v>
      </c>
      <c r="N217" s="21">
        <f t="shared" si="99"/>
        <v>8450000</v>
      </c>
      <c r="O217" s="21">
        <f t="shared" si="99"/>
        <v>8450000</v>
      </c>
      <c r="P217" s="24">
        <f t="shared" si="99"/>
        <v>8450000</v>
      </c>
      <c r="Q217" s="25">
        <f>F217+J217</f>
        <v>88705900</v>
      </c>
      <c r="R217" s="15"/>
    </row>
    <row r="218" spans="1:18" s="16" customFormat="1" ht="21.95" customHeight="1" x14ac:dyDescent="0.2">
      <c r="A218" s="40" t="s">
        <v>231</v>
      </c>
      <c r="B218" s="18"/>
      <c r="C218" s="18"/>
      <c r="D218" s="19" t="s">
        <v>36</v>
      </c>
      <c r="E218" s="20"/>
      <c r="F218" s="21"/>
      <c r="G218" s="21"/>
      <c r="H218" s="21"/>
      <c r="I218" s="22"/>
      <c r="J218" s="23">
        <f t="shared" si="68"/>
        <v>0</v>
      </c>
      <c r="K218" s="21"/>
      <c r="L218" s="21"/>
      <c r="M218" s="21"/>
      <c r="N218" s="21"/>
      <c r="O218" s="21"/>
      <c r="P218" s="24"/>
      <c r="Q218" s="47"/>
    </row>
    <row r="219" spans="1:18" s="31" customFormat="1" ht="31.5" customHeight="1" x14ac:dyDescent="0.2">
      <c r="A219" s="32" t="s">
        <v>232</v>
      </c>
      <c r="B219" s="26" t="s">
        <v>144</v>
      </c>
      <c r="C219" s="26" t="s">
        <v>79</v>
      </c>
      <c r="D219" s="84" t="s">
        <v>83</v>
      </c>
      <c r="E219" s="2">
        <f t="shared" ref="E219:E220" si="100">F219</f>
        <v>7586000</v>
      </c>
      <c r="F219" s="1">
        <v>7586000</v>
      </c>
      <c r="G219" s="1">
        <v>5543000</v>
      </c>
      <c r="H219" s="1">
        <v>185000</v>
      </c>
      <c r="I219" s="28"/>
      <c r="J219" s="23">
        <f t="shared" si="68"/>
        <v>1200000</v>
      </c>
      <c r="K219" s="1"/>
      <c r="L219" s="1"/>
      <c r="M219" s="1"/>
      <c r="N219" s="1">
        <f>1200000</f>
        <v>1200000</v>
      </c>
      <c r="O219" s="1">
        <f t="shared" ref="O219:P219" si="101">1200000</f>
        <v>1200000</v>
      </c>
      <c r="P219" s="29">
        <f t="shared" si="101"/>
        <v>1200000</v>
      </c>
      <c r="Q219" s="47">
        <f t="shared" si="95"/>
        <v>8786000</v>
      </c>
    </row>
    <row r="220" spans="1:18" s="31" customFormat="1" ht="18" hidden="1" customHeight="1" x14ac:dyDescent="0.2">
      <c r="A220" s="32"/>
      <c r="B220" s="26"/>
      <c r="C220" s="26"/>
      <c r="D220" s="27"/>
      <c r="E220" s="2">
        <f t="shared" si="100"/>
        <v>0</v>
      </c>
      <c r="F220" s="1"/>
      <c r="G220" s="1"/>
      <c r="H220" s="1"/>
      <c r="I220" s="28"/>
      <c r="J220" s="23"/>
      <c r="K220" s="1"/>
      <c r="L220" s="1"/>
      <c r="M220" s="1"/>
      <c r="N220" s="1"/>
      <c r="O220" s="1"/>
      <c r="P220" s="29"/>
      <c r="Q220" s="47">
        <f t="shared" si="95"/>
        <v>0</v>
      </c>
    </row>
    <row r="221" spans="1:18" s="31" customFormat="1" ht="26.25" customHeight="1" x14ac:dyDescent="0.2">
      <c r="A221" s="32" t="s">
        <v>341</v>
      </c>
      <c r="B221" s="26" t="s">
        <v>61</v>
      </c>
      <c r="C221" s="26" t="s">
        <v>66</v>
      </c>
      <c r="D221" s="27" t="s">
        <v>342</v>
      </c>
      <c r="E221" s="2">
        <f>F221</f>
        <v>42898200</v>
      </c>
      <c r="F221" s="1">
        <f>F223+F224+F225+F226+30708200</f>
        <v>42898200</v>
      </c>
      <c r="G221" s="1">
        <f t="shared" ref="G221:P221" si="102">G223+G224+G225+G226</f>
        <v>0</v>
      </c>
      <c r="H221" s="1">
        <f t="shared" si="102"/>
        <v>0</v>
      </c>
      <c r="I221" s="70">
        <f t="shared" si="102"/>
        <v>0</v>
      </c>
      <c r="J221" s="23">
        <f t="shared" si="102"/>
        <v>0</v>
      </c>
      <c r="K221" s="1">
        <f t="shared" si="102"/>
        <v>0</v>
      </c>
      <c r="L221" s="1">
        <f t="shared" si="102"/>
        <v>0</v>
      </c>
      <c r="M221" s="1">
        <f t="shared" si="102"/>
        <v>0</v>
      </c>
      <c r="N221" s="1">
        <f t="shared" si="102"/>
        <v>0</v>
      </c>
      <c r="O221" s="1">
        <f t="shared" si="102"/>
        <v>0</v>
      </c>
      <c r="P221" s="29">
        <f t="shared" si="102"/>
        <v>0</v>
      </c>
      <c r="Q221" s="47">
        <f t="shared" si="95"/>
        <v>42898200</v>
      </c>
    </row>
    <row r="222" spans="1:18" s="31" customFormat="1" ht="16.5" customHeight="1" x14ac:dyDescent="0.2">
      <c r="A222" s="32"/>
      <c r="B222" s="26"/>
      <c r="C222" s="26"/>
      <c r="D222" s="27" t="s">
        <v>95</v>
      </c>
      <c r="E222" s="2"/>
      <c r="F222" s="1"/>
      <c r="G222" s="1"/>
      <c r="H222" s="1"/>
      <c r="I222" s="28"/>
      <c r="J222" s="23">
        <f t="shared" ref="J222:J226" si="103">K222+N222</f>
        <v>0</v>
      </c>
      <c r="K222" s="1"/>
      <c r="L222" s="1"/>
      <c r="M222" s="1"/>
      <c r="N222" s="1"/>
      <c r="O222" s="1"/>
      <c r="P222" s="29"/>
      <c r="Q222" s="47"/>
    </row>
    <row r="223" spans="1:18" s="31" customFormat="1" ht="33" customHeight="1" x14ac:dyDescent="0.2">
      <c r="A223" s="32"/>
      <c r="B223" s="26"/>
      <c r="C223" s="26"/>
      <c r="D223" s="33" t="s">
        <v>96</v>
      </c>
      <c r="E223" s="2">
        <f t="shared" ref="E223:E236" si="104">F223</f>
        <v>450000</v>
      </c>
      <c r="F223" s="1">
        <v>450000</v>
      </c>
      <c r="G223" s="1"/>
      <c r="H223" s="1"/>
      <c r="I223" s="28"/>
      <c r="J223" s="23">
        <f t="shared" si="103"/>
        <v>0</v>
      </c>
      <c r="K223" s="1"/>
      <c r="L223" s="1"/>
      <c r="M223" s="1"/>
      <c r="N223" s="1"/>
      <c r="O223" s="1"/>
      <c r="P223" s="29"/>
      <c r="Q223" s="47">
        <f t="shared" ref="Q223" si="105">F223+J223</f>
        <v>450000</v>
      </c>
    </row>
    <row r="224" spans="1:18" s="31" customFormat="1" ht="52.5" customHeight="1" x14ac:dyDescent="0.2">
      <c r="A224" s="32"/>
      <c r="B224" s="26"/>
      <c r="C224" s="26"/>
      <c r="D224" s="36" t="s">
        <v>127</v>
      </c>
      <c r="E224" s="2">
        <f t="shared" si="104"/>
        <v>8440000</v>
      </c>
      <c r="F224" s="1">
        <f>2940000+4500000+1000000</f>
        <v>8440000</v>
      </c>
      <c r="G224" s="1"/>
      <c r="H224" s="1"/>
      <c r="I224" s="28"/>
      <c r="J224" s="23">
        <f t="shared" si="103"/>
        <v>0</v>
      </c>
      <c r="K224" s="1"/>
      <c r="L224" s="1"/>
      <c r="M224" s="1"/>
      <c r="N224" s="1"/>
      <c r="O224" s="1"/>
      <c r="P224" s="29"/>
      <c r="Q224" s="47">
        <f>F224+J224</f>
        <v>8440000</v>
      </c>
    </row>
    <row r="225" spans="1:17" s="31" customFormat="1" ht="36" customHeight="1" x14ac:dyDescent="0.2">
      <c r="A225" s="32"/>
      <c r="B225" s="26"/>
      <c r="C225" s="26"/>
      <c r="D225" s="36" t="s">
        <v>131</v>
      </c>
      <c r="E225" s="2">
        <f t="shared" si="104"/>
        <v>2500000</v>
      </c>
      <c r="F225" s="1">
        <v>2500000</v>
      </c>
      <c r="G225" s="1"/>
      <c r="H225" s="1"/>
      <c r="I225" s="28"/>
      <c r="J225" s="23">
        <f t="shared" si="103"/>
        <v>0</v>
      </c>
      <c r="K225" s="1"/>
      <c r="L225" s="1"/>
      <c r="M225" s="1"/>
      <c r="N225" s="1"/>
      <c r="O225" s="1"/>
      <c r="P225" s="29"/>
      <c r="Q225" s="47">
        <f>F225+J225</f>
        <v>2500000</v>
      </c>
    </row>
    <row r="226" spans="1:17" s="31" customFormat="1" ht="30.75" customHeight="1" x14ac:dyDescent="0.2">
      <c r="A226" s="32"/>
      <c r="B226" s="26"/>
      <c r="C226" s="26"/>
      <c r="D226" s="85" t="s">
        <v>84</v>
      </c>
      <c r="E226" s="2">
        <f t="shared" si="104"/>
        <v>800000</v>
      </c>
      <c r="F226" s="1">
        <v>800000</v>
      </c>
      <c r="G226" s="1"/>
      <c r="H226" s="1"/>
      <c r="I226" s="28"/>
      <c r="J226" s="23">
        <f t="shared" si="103"/>
        <v>0</v>
      </c>
      <c r="K226" s="1"/>
      <c r="L226" s="1"/>
      <c r="M226" s="1"/>
      <c r="N226" s="1"/>
      <c r="O226" s="1"/>
      <c r="P226" s="29"/>
      <c r="Q226" s="47">
        <f>F226+J226</f>
        <v>800000</v>
      </c>
    </row>
    <row r="227" spans="1:17" s="31" customFormat="1" ht="18" customHeight="1" x14ac:dyDescent="0.2">
      <c r="A227" s="32" t="s">
        <v>233</v>
      </c>
      <c r="B227" s="26" t="s">
        <v>200</v>
      </c>
      <c r="C227" s="26" t="s">
        <v>202</v>
      </c>
      <c r="D227" s="27" t="s">
        <v>201</v>
      </c>
      <c r="E227" s="2">
        <f t="shared" si="104"/>
        <v>4600000</v>
      </c>
      <c r="F227" s="1">
        <v>4600000</v>
      </c>
      <c r="G227" s="1"/>
      <c r="H227" s="1"/>
      <c r="I227" s="28"/>
      <c r="J227" s="23">
        <f>K227+N227</f>
        <v>0</v>
      </c>
      <c r="K227" s="1"/>
      <c r="L227" s="1"/>
      <c r="M227" s="1"/>
      <c r="N227" s="1"/>
      <c r="O227" s="1"/>
      <c r="P227" s="29"/>
      <c r="Q227" s="47">
        <f t="shared" ref="Q227" si="106">F227+J227</f>
        <v>4600000</v>
      </c>
    </row>
    <row r="228" spans="1:17" s="31" customFormat="1" ht="12" customHeight="1" x14ac:dyDescent="0.2">
      <c r="A228" s="32" t="s">
        <v>338</v>
      </c>
      <c r="B228" s="26" t="s">
        <v>203</v>
      </c>
      <c r="C228" s="26" t="s">
        <v>66</v>
      </c>
      <c r="D228" s="27" t="s">
        <v>37</v>
      </c>
      <c r="E228" s="2">
        <f t="shared" si="104"/>
        <v>1000000</v>
      </c>
      <c r="F228" s="1">
        <v>1000000</v>
      </c>
      <c r="G228" s="61"/>
      <c r="H228" s="61"/>
      <c r="I228" s="28"/>
      <c r="J228" s="23">
        <f t="shared" ref="J228:J237" si="107">K228+N228</f>
        <v>0</v>
      </c>
      <c r="K228" s="1"/>
      <c r="L228" s="1"/>
      <c r="M228" s="1"/>
      <c r="N228" s="1"/>
      <c r="O228" s="1"/>
      <c r="P228" s="29"/>
      <c r="Q228" s="47">
        <f t="shared" ref="Q228:Q237" si="108">F228+J228</f>
        <v>1000000</v>
      </c>
    </row>
    <row r="229" spans="1:17" s="31" customFormat="1" ht="19.5" customHeight="1" x14ac:dyDescent="0.2">
      <c r="A229" s="32" t="s">
        <v>339</v>
      </c>
      <c r="B229" s="26" t="s">
        <v>206</v>
      </c>
      <c r="C229" s="26" t="s">
        <v>61</v>
      </c>
      <c r="D229" s="86" t="s">
        <v>65</v>
      </c>
      <c r="E229" s="2">
        <f t="shared" si="104"/>
        <v>21171700</v>
      </c>
      <c r="F229" s="1">
        <v>21171700</v>
      </c>
      <c r="G229" s="61"/>
      <c r="H229" s="61"/>
      <c r="I229" s="28"/>
      <c r="J229" s="23">
        <f t="shared" si="107"/>
        <v>0</v>
      </c>
      <c r="K229" s="1"/>
      <c r="L229" s="1"/>
      <c r="M229" s="1"/>
      <c r="N229" s="1"/>
      <c r="O229" s="1"/>
      <c r="P229" s="29"/>
      <c r="Q229" s="47">
        <f>F229+J229</f>
        <v>21171700</v>
      </c>
    </row>
    <row r="230" spans="1:17" s="31" customFormat="1" ht="21.95" customHeight="1" x14ac:dyDescent="0.2">
      <c r="A230" s="32" t="s">
        <v>340</v>
      </c>
      <c r="B230" s="26" t="s">
        <v>204</v>
      </c>
      <c r="C230" s="26" t="s">
        <v>61</v>
      </c>
      <c r="D230" s="27" t="s">
        <v>205</v>
      </c>
      <c r="E230" s="2">
        <f t="shared" si="104"/>
        <v>3000000</v>
      </c>
      <c r="F230" s="1">
        <v>3000000</v>
      </c>
      <c r="G230" s="61"/>
      <c r="H230" s="61"/>
      <c r="I230" s="28"/>
      <c r="J230" s="23">
        <f t="shared" si="107"/>
        <v>7250000</v>
      </c>
      <c r="K230" s="1"/>
      <c r="L230" s="1"/>
      <c r="M230" s="1"/>
      <c r="N230" s="1">
        <f>7250000</f>
        <v>7250000</v>
      </c>
      <c r="O230" s="1">
        <f t="shared" ref="O230:P230" si="109">7250000</f>
        <v>7250000</v>
      </c>
      <c r="P230" s="29">
        <f t="shared" si="109"/>
        <v>7250000</v>
      </c>
      <c r="Q230" s="47">
        <f t="shared" si="108"/>
        <v>10250000</v>
      </c>
    </row>
    <row r="231" spans="1:17" s="31" customFormat="1" ht="11.25" customHeight="1" x14ac:dyDescent="0.2">
      <c r="A231" s="32"/>
      <c r="B231" s="26"/>
      <c r="C231" s="26"/>
      <c r="D231" s="27" t="s">
        <v>95</v>
      </c>
      <c r="E231" s="2"/>
      <c r="F231" s="1"/>
      <c r="G231" s="61"/>
      <c r="H231" s="61"/>
      <c r="I231" s="28"/>
      <c r="J231" s="23">
        <f t="shared" si="107"/>
        <v>0</v>
      </c>
      <c r="K231" s="1"/>
      <c r="L231" s="1"/>
      <c r="M231" s="1"/>
      <c r="N231" s="1"/>
      <c r="O231" s="1"/>
      <c r="P231" s="29"/>
      <c r="Q231" s="47">
        <f t="shared" si="108"/>
        <v>0</v>
      </c>
    </row>
    <row r="232" spans="1:17" s="31" customFormat="1" ht="14.45" customHeight="1" x14ac:dyDescent="0.2">
      <c r="A232" s="32"/>
      <c r="B232" s="26"/>
      <c r="C232" s="26"/>
      <c r="D232" s="27" t="s">
        <v>384</v>
      </c>
      <c r="E232" s="2">
        <f t="shared" si="104"/>
        <v>2175000</v>
      </c>
      <c r="F232" s="1">
        <f>175000+2000000</f>
        <v>2175000</v>
      </c>
      <c r="G232" s="61"/>
      <c r="H232" s="61"/>
      <c r="I232" s="28"/>
      <c r="J232" s="23">
        <f>K232+N232</f>
        <v>1450000</v>
      </c>
      <c r="K232" s="1"/>
      <c r="L232" s="1"/>
      <c r="M232" s="1"/>
      <c r="N232" s="1">
        <f>1450000</f>
        <v>1450000</v>
      </c>
      <c r="O232" s="1">
        <f t="shared" ref="O232:P236" si="110">1450000</f>
        <v>1450000</v>
      </c>
      <c r="P232" s="29">
        <f t="shared" si="110"/>
        <v>1450000</v>
      </c>
      <c r="Q232" s="47">
        <f t="shared" si="108"/>
        <v>3625000</v>
      </c>
    </row>
    <row r="233" spans="1:17" s="31" customFormat="1" ht="14.45" customHeight="1" x14ac:dyDescent="0.2">
      <c r="A233" s="32"/>
      <c r="B233" s="26"/>
      <c r="C233" s="26"/>
      <c r="D233" s="27" t="s">
        <v>385</v>
      </c>
      <c r="E233" s="2">
        <f t="shared" si="104"/>
        <v>272000</v>
      </c>
      <c r="F233" s="1">
        <v>272000</v>
      </c>
      <c r="G233" s="61"/>
      <c r="H233" s="61"/>
      <c r="I233" s="28"/>
      <c r="J233" s="23">
        <f>K233+N233</f>
        <v>1450000</v>
      </c>
      <c r="K233" s="1"/>
      <c r="L233" s="1"/>
      <c r="M233" s="1"/>
      <c r="N233" s="1">
        <f>1450000</f>
        <v>1450000</v>
      </c>
      <c r="O233" s="1">
        <f t="shared" si="110"/>
        <v>1450000</v>
      </c>
      <c r="P233" s="29">
        <f t="shared" si="110"/>
        <v>1450000</v>
      </c>
      <c r="Q233" s="47">
        <f t="shared" si="108"/>
        <v>1722000</v>
      </c>
    </row>
    <row r="234" spans="1:17" s="31" customFormat="1" ht="14.45" customHeight="1" x14ac:dyDescent="0.2">
      <c r="A234" s="32"/>
      <c r="B234" s="26"/>
      <c r="C234" s="26"/>
      <c r="D234" s="27" t="s">
        <v>386</v>
      </c>
      <c r="E234" s="2">
        <f t="shared" si="104"/>
        <v>215500</v>
      </c>
      <c r="F234" s="1">
        <v>215500</v>
      </c>
      <c r="G234" s="61"/>
      <c r="H234" s="61"/>
      <c r="I234" s="28"/>
      <c r="J234" s="23">
        <f>K234+N234</f>
        <v>1450000</v>
      </c>
      <c r="K234" s="1"/>
      <c r="L234" s="1"/>
      <c r="M234" s="1"/>
      <c r="N234" s="1">
        <f>1450000</f>
        <v>1450000</v>
      </c>
      <c r="O234" s="1">
        <f t="shared" si="110"/>
        <v>1450000</v>
      </c>
      <c r="P234" s="29">
        <f t="shared" si="110"/>
        <v>1450000</v>
      </c>
      <c r="Q234" s="47">
        <f t="shared" si="108"/>
        <v>1665500</v>
      </c>
    </row>
    <row r="235" spans="1:17" s="31" customFormat="1" ht="14.45" customHeight="1" x14ac:dyDescent="0.2">
      <c r="A235" s="32"/>
      <c r="B235" s="26"/>
      <c r="C235" s="26"/>
      <c r="D235" s="27" t="s">
        <v>387</v>
      </c>
      <c r="E235" s="2">
        <f t="shared" si="104"/>
        <v>212500</v>
      </c>
      <c r="F235" s="1">
        <v>212500</v>
      </c>
      <c r="G235" s="61"/>
      <c r="H235" s="61"/>
      <c r="I235" s="28"/>
      <c r="J235" s="23">
        <f>K235+N235</f>
        <v>1450000</v>
      </c>
      <c r="K235" s="1"/>
      <c r="L235" s="1"/>
      <c r="M235" s="1"/>
      <c r="N235" s="1">
        <f>1450000</f>
        <v>1450000</v>
      </c>
      <c r="O235" s="1">
        <f t="shared" si="110"/>
        <v>1450000</v>
      </c>
      <c r="P235" s="29">
        <f t="shared" si="110"/>
        <v>1450000</v>
      </c>
      <c r="Q235" s="47">
        <f t="shared" si="108"/>
        <v>1662500</v>
      </c>
    </row>
    <row r="236" spans="1:17" s="31" customFormat="1" ht="14.45" customHeight="1" x14ac:dyDescent="0.2">
      <c r="A236" s="32"/>
      <c r="B236" s="26"/>
      <c r="C236" s="26"/>
      <c r="D236" s="27" t="s">
        <v>388</v>
      </c>
      <c r="E236" s="2">
        <f t="shared" si="104"/>
        <v>125000</v>
      </c>
      <c r="F236" s="1">
        <v>125000</v>
      </c>
      <c r="G236" s="61"/>
      <c r="H236" s="61"/>
      <c r="I236" s="28"/>
      <c r="J236" s="23">
        <f>K236+N236</f>
        <v>1450000</v>
      </c>
      <c r="K236" s="1"/>
      <c r="L236" s="1"/>
      <c r="M236" s="1"/>
      <c r="N236" s="1">
        <f>1450000</f>
        <v>1450000</v>
      </c>
      <c r="O236" s="1">
        <f t="shared" si="110"/>
        <v>1450000</v>
      </c>
      <c r="P236" s="29">
        <f t="shared" si="110"/>
        <v>1450000</v>
      </c>
      <c r="Q236" s="47">
        <f t="shared" si="108"/>
        <v>1575000</v>
      </c>
    </row>
    <row r="237" spans="1:17" s="31" customFormat="1" ht="14.45" customHeight="1" thickBot="1" x14ac:dyDescent="0.25">
      <c r="A237" s="87"/>
      <c r="B237" s="88"/>
      <c r="C237" s="88"/>
      <c r="D237" s="89"/>
      <c r="E237" s="90"/>
      <c r="F237" s="91"/>
      <c r="G237" s="92"/>
      <c r="H237" s="92"/>
      <c r="I237" s="93"/>
      <c r="J237" s="94">
        <f t="shared" si="107"/>
        <v>0</v>
      </c>
      <c r="K237" s="91"/>
      <c r="L237" s="91"/>
      <c r="M237" s="91"/>
      <c r="N237" s="91"/>
      <c r="O237" s="91"/>
      <c r="P237" s="95"/>
      <c r="Q237" s="96">
        <f t="shared" si="108"/>
        <v>0</v>
      </c>
    </row>
    <row r="238" spans="1:17" s="104" customFormat="1" ht="19.5" customHeight="1" thickBot="1" x14ac:dyDescent="0.2">
      <c r="A238" s="97"/>
      <c r="B238" s="147" t="s">
        <v>5</v>
      </c>
      <c r="C238" s="147"/>
      <c r="D238" s="148"/>
      <c r="E238" s="98">
        <f t="shared" ref="E238:Q238" si="111">E9+E41+E65+E79+E120+E124+E148+E211+E160+E179+E186+E195+E217+E137</f>
        <v>2079034393</v>
      </c>
      <c r="F238" s="99">
        <f t="shared" si="111"/>
        <v>2079034393</v>
      </c>
      <c r="G238" s="99">
        <f t="shared" si="111"/>
        <v>577275000</v>
      </c>
      <c r="H238" s="99">
        <f t="shared" si="111"/>
        <v>78208600</v>
      </c>
      <c r="I238" s="100">
        <f t="shared" si="111"/>
        <v>0</v>
      </c>
      <c r="J238" s="101">
        <f t="shared" si="111"/>
        <v>1174181300</v>
      </c>
      <c r="K238" s="99">
        <f t="shared" si="111"/>
        <v>45507900</v>
      </c>
      <c r="L238" s="99">
        <f t="shared" si="111"/>
        <v>12609800</v>
      </c>
      <c r="M238" s="99">
        <f t="shared" si="111"/>
        <v>2423200</v>
      </c>
      <c r="N238" s="99">
        <f t="shared" si="111"/>
        <v>1128673400</v>
      </c>
      <c r="O238" s="99">
        <f t="shared" si="111"/>
        <v>1125561500</v>
      </c>
      <c r="P238" s="102">
        <f t="shared" si="111"/>
        <v>970961500</v>
      </c>
      <c r="Q238" s="103">
        <f t="shared" si="111"/>
        <v>3253215693</v>
      </c>
    </row>
    <row r="239" spans="1:17" s="3" customFormat="1" ht="19.5" customHeight="1" x14ac:dyDescent="0.2">
      <c r="B239" s="4"/>
      <c r="C239" s="4"/>
      <c r="E239" s="105"/>
      <c r="F239" s="105"/>
      <c r="G239" s="105"/>
      <c r="H239" s="105"/>
      <c r="K239" s="105"/>
      <c r="O239" s="105"/>
      <c r="P239" s="106"/>
    </row>
    <row r="240" spans="1:17" s="3" customFormat="1" ht="15.75" x14ac:dyDescent="0.25">
      <c r="B240" s="149" t="s">
        <v>38</v>
      </c>
      <c r="C240" s="149"/>
      <c r="D240" s="149"/>
      <c r="E240" s="149"/>
      <c r="F240" s="149"/>
      <c r="G240" s="149"/>
      <c r="H240" s="149"/>
      <c r="I240" s="149"/>
      <c r="J240" s="149"/>
      <c r="K240" s="149"/>
      <c r="M240" s="150" t="s">
        <v>120</v>
      </c>
      <c r="N240" s="150"/>
      <c r="O240" s="150"/>
      <c r="P240" s="150"/>
      <c r="Q240" s="150"/>
    </row>
    <row r="241" spans="5:16" ht="11.45" customHeight="1" x14ac:dyDescent="0.2">
      <c r="E241" s="108"/>
      <c r="F241" s="108"/>
      <c r="J241" s="109">
        <f>E238+J238</f>
        <v>3253215693</v>
      </c>
    </row>
    <row r="242" spans="5:16" ht="24" customHeight="1" x14ac:dyDescent="0.2">
      <c r="E242" s="111">
        <f>E11+E43+E67+E81+E122+E126+E139+E150+E213+E162+E181+E188+E197+E219</f>
        <v>120000000</v>
      </c>
      <c r="F242" s="111">
        <f>F11+F43+F67+F81+F122+F126+F139+F150+F213+F162+F181+F188+F197+F219</f>
        <v>120000000</v>
      </c>
      <c r="G242" s="111">
        <f>G11+G43+G67+G81+G122+G126+G139+G150+G213+G162+G181+G188+G197+G219</f>
        <v>91650000</v>
      </c>
      <c r="H242" s="111">
        <f>H11+H43+H67+H81+H122+H126+H139+H150+H213+H162+H181+H188+H197+H219</f>
        <v>2000000</v>
      </c>
      <c r="I242" s="109"/>
      <c r="J242" s="109">
        <f>Q238-J241</f>
        <v>0</v>
      </c>
      <c r="N242" s="109"/>
      <c r="P242" s="108"/>
    </row>
    <row r="243" spans="5:16" ht="11.45" customHeight="1" x14ac:dyDescent="0.2">
      <c r="E243" s="112"/>
      <c r="F243" s="112"/>
      <c r="K243" s="109">
        <f>J238-O238-5000-250000-4956000</f>
        <v>43408800</v>
      </c>
      <c r="L243" s="5">
        <v>45470100</v>
      </c>
      <c r="M243" s="109">
        <f>K243-L243</f>
        <v>-2061300</v>
      </c>
    </row>
    <row r="244" spans="5:16" ht="11.45" customHeight="1" x14ac:dyDescent="0.2">
      <c r="E244" s="108"/>
      <c r="F244" s="108"/>
    </row>
    <row r="245" spans="5:16" ht="11.45" customHeight="1" x14ac:dyDescent="0.2">
      <c r="E245" s="108"/>
      <c r="F245" s="108"/>
      <c r="K245" s="109" t="e">
        <f>J64+J78+J118+J135+J158+J185+#REF!+J123</f>
        <v>#REF!</v>
      </c>
    </row>
  </sheetData>
  <mergeCells count="28">
    <mergeCell ref="B238:D238"/>
    <mergeCell ref="B240:K240"/>
    <mergeCell ref="M240:Q240"/>
    <mergeCell ref="O6:P6"/>
    <mergeCell ref="G7:G8"/>
    <mergeCell ref="H7:H8"/>
    <mergeCell ref="L7:L8"/>
    <mergeCell ref="M7:M8"/>
    <mergeCell ref="O7:O8"/>
    <mergeCell ref="E6:E8"/>
    <mergeCell ref="A5:A8"/>
    <mergeCell ref="B5:B8"/>
    <mergeCell ref="D5:D8"/>
    <mergeCell ref="I6:I8"/>
    <mergeCell ref="C5:C8"/>
    <mergeCell ref="E5:I5"/>
    <mergeCell ref="J5:P5"/>
    <mergeCell ref="Q5:Q8"/>
    <mergeCell ref="F6:F8"/>
    <mergeCell ref="B1:M1"/>
    <mergeCell ref="O1:Q1"/>
    <mergeCell ref="B2:M2"/>
    <mergeCell ref="O2:Q2"/>
    <mergeCell ref="K6:K8"/>
    <mergeCell ref="N6:N8"/>
    <mergeCell ref="L6:M6"/>
    <mergeCell ref="G6:H6"/>
    <mergeCell ref="J6:J8"/>
  </mergeCells>
  <phoneticPr fontId="11" type="noConversion"/>
  <pageMargins left="0" right="0" top="0.19685039370078741" bottom="0" header="0.51181102362204722" footer="0.51181102362204722"/>
  <pageSetup paperSize="9" scale="62" fitToHeight="30" orientation="landscape" r:id="rId1"/>
  <ignoredErrors>
    <ignoredError sqref="J64 J62 J51 J47:J49 J43 J53:J56 J12 J119 J93:J103 J116 J76:J77 J57:J60 J16:J17 J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Motruk</dc:creator>
  <cp:lastModifiedBy>User</cp:lastModifiedBy>
  <cp:lastPrinted>2017-12-07T06:26:13Z</cp:lastPrinted>
  <dcterms:created xsi:type="dcterms:W3CDTF">2016-12-02T14:24:23Z</dcterms:created>
  <dcterms:modified xsi:type="dcterms:W3CDTF">2017-12-14T11:22:03Z</dcterms:modified>
</cp:coreProperties>
</file>