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sim\2018\Уточнення травень 22.05\126 УТОЧНЕННЯ\"/>
    </mc:Choice>
  </mc:AlternateContent>
  <bookViews>
    <workbookView xWindow="0" yWindow="0" windowWidth="15570" windowHeight="10695" tabRatio="0"/>
  </bookViews>
  <sheets>
    <sheet name="TDSheet" sheetId="1" r:id="rId1"/>
  </sheets>
  <definedNames>
    <definedName name="_xlnm.Print_Titles" localSheetId="0">TDSheet!$5:$8</definedName>
    <definedName name="_xlnm.Print_Area" localSheetId="0">TDSheet!$A$1:$R$296</definedName>
  </definedNames>
  <calcPr calcId="162913" refMode="R1C1"/>
</workbook>
</file>

<file path=xl/calcChain.xml><?xml version="1.0" encoding="utf-8"?>
<calcChain xmlns="http://schemas.openxmlformats.org/spreadsheetml/2006/main">
  <c r="N222" i="1" l="1"/>
  <c r="M222" i="1"/>
  <c r="L222" i="1"/>
  <c r="M218" i="1"/>
  <c r="N218" i="1"/>
  <c r="L218" i="1"/>
  <c r="N54" i="1" l="1"/>
  <c r="M54" i="1"/>
  <c r="L54" i="1"/>
  <c r="G86" i="1" l="1"/>
  <c r="N280" i="1"/>
  <c r="M280" i="1"/>
  <c r="L280" i="1"/>
  <c r="M286" i="1"/>
  <c r="N286" i="1"/>
  <c r="L286" i="1"/>
  <c r="N174" i="1"/>
  <c r="M174" i="1"/>
  <c r="L174" i="1"/>
  <c r="M175" i="1"/>
  <c r="N175" i="1"/>
  <c r="L175" i="1"/>
  <c r="J175" i="1" s="1"/>
  <c r="P175" i="1"/>
  <c r="N243" i="1"/>
  <c r="M213" i="1"/>
  <c r="N213" i="1"/>
  <c r="L213" i="1"/>
  <c r="N289" i="1"/>
  <c r="N288" i="1"/>
  <c r="N287" i="1"/>
  <c r="M196" i="1"/>
  <c r="N196" i="1"/>
  <c r="L196" i="1"/>
  <c r="M287" i="1"/>
  <c r="L287" i="1"/>
  <c r="G271" i="1"/>
  <c r="G276" i="1"/>
  <c r="H175" i="1"/>
  <c r="E267" i="1"/>
  <c r="E278" i="1"/>
  <c r="I294" i="1"/>
  <c r="E28" i="1"/>
  <c r="F271" i="1"/>
  <c r="G88" i="1"/>
  <c r="G54" i="1"/>
  <c r="G50" i="1"/>
  <c r="G227" i="1"/>
  <c r="G11" i="1"/>
  <c r="M212" i="1"/>
  <c r="N212" i="1"/>
  <c r="L212" i="1"/>
  <c r="G196" i="1"/>
  <c r="I289" i="1"/>
  <c r="I287" i="1"/>
  <c r="M289" i="1"/>
  <c r="L289" i="1"/>
  <c r="M288" i="1"/>
  <c r="L288" i="1"/>
  <c r="M232" i="1"/>
  <c r="N232" i="1"/>
  <c r="L232" i="1"/>
  <c r="M227" i="1"/>
  <c r="N227" i="1"/>
  <c r="L227" i="1"/>
  <c r="M215" i="1"/>
  <c r="L215" i="1"/>
  <c r="N215" i="1"/>
  <c r="M11" i="1"/>
  <c r="N11" i="1"/>
  <c r="L11" i="1"/>
  <c r="G274" i="1"/>
  <c r="G193" i="1"/>
  <c r="G188" i="1"/>
  <c r="G145" i="1"/>
  <c r="G139" i="1"/>
  <c r="G106" i="1" s="1"/>
  <c r="G92" i="1"/>
  <c r="G90" i="1"/>
  <c r="N193" i="1"/>
  <c r="P56" i="1"/>
  <c r="P291" i="1"/>
  <c r="P292" i="1"/>
  <c r="P293" i="1"/>
  <c r="E145" i="1"/>
  <c r="E139" i="1"/>
  <c r="E106" i="1" s="1"/>
  <c r="E294" i="1" s="1"/>
  <c r="P294" i="1" s="1"/>
  <c r="P139" i="1"/>
  <c r="F56" i="1"/>
  <c r="H56" i="1"/>
  <c r="R56" i="1" s="1"/>
  <c r="Q56" i="1"/>
  <c r="F135" i="1"/>
  <c r="H135" i="1"/>
  <c r="P69" i="1"/>
  <c r="J68" i="1"/>
  <c r="J69" i="1"/>
  <c r="G154" i="1"/>
  <c r="F154" i="1" s="1"/>
  <c r="P157" i="1"/>
  <c r="J157" i="1"/>
  <c r="O157" i="1"/>
  <c r="F157" i="1"/>
  <c r="H157" i="1" s="1"/>
  <c r="R157" i="1" s="1"/>
  <c r="P181" i="1"/>
  <c r="J181" i="1"/>
  <c r="O181" i="1"/>
  <c r="F181" i="1"/>
  <c r="G159" i="1"/>
  <c r="P162" i="1"/>
  <c r="F162" i="1"/>
  <c r="Q162" i="1" s="1"/>
  <c r="P164" i="1"/>
  <c r="J164" i="1"/>
  <c r="O164" i="1"/>
  <c r="F164" i="1"/>
  <c r="Q164" i="1" s="1"/>
  <c r="Q181" i="1"/>
  <c r="H162" i="1"/>
  <c r="R162" i="1" s="1"/>
  <c r="Q157" i="1"/>
  <c r="H181" i="1"/>
  <c r="R181" i="1"/>
  <c r="F180" i="1"/>
  <c r="H180" i="1" s="1"/>
  <c r="R180" i="1" s="1"/>
  <c r="Q180" i="1"/>
  <c r="F69" i="1"/>
  <c r="H69" i="1"/>
  <c r="R69" i="1" s="1"/>
  <c r="Q69" i="1"/>
  <c r="L173" i="1"/>
  <c r="K81" i="1"/>
  <c r="P132" i="1"/>
  <c r="G72" i="1"/>
  <c r="G47" i="1" s="1"/>
  <c r="F52" i="1"/>
  <c r="H52" i="1" s="1"/>
  <c r="R52" i="1" s="1"/>
  <c r="F53" i="1"/>
  <c r="H53" i="1" s="1"/>
  <c r="G192" i="1"/>
  <c r="M166" i="1"/>
  <c r="L166" i="1"/>
  <c r="M100" i="1"/>
  <c r="J95" i="1"/>
  <c r="J96" i="1"/>
  <c r="J97" i="1"/>
  <c r="J98" i="1"/>
  <c r="J99" i="1"/>
  <c r="J101" i="1"/>
  <c r="J102" i="1"/>
  <c r="L100" i="1"/>
  <c r="J100" i="1"/>
  <c r="O100" i="1" s="1"/>
  <c r="I98" i="1"/>
  <c r="M94" i="1"/>
  <c r="L94" i="1"/>
  <c r="J94" i="1" s="1"/>
  <c r="O94" i="1" s="1"/>
  <c r="M67" i="1"/>
  <c r="L67" i="1"/>
  <c r="M197" i="1"/>
  <c r="L197" i="1"/>
  <c r="M192" i="1"/>
  <c r="L192" i="1"/>
  <c r="M43" i="1"/>
  <c r="N43" i="1"/>
  <c r="L43" i="1"/>
  <c r="M214" i="1"/>
  <c r="N214" i="1"/>
  <c r="L214" i="1"/>
  <c r="P159" i="1"/>
  <c r="K159" i="1"/>
  <c r="N20" i="1"/>
  <c r="M20" i="1"/>
  <c r="L20" i="1"/>
  <c r="K9" i="1"/>
  <c r="M271" i="1"/>
  <c r="N271" i="1"/>
  <c r="J270" i="1"/>
  <c r="L271" i="1"/>
  <c r="M269" i="1"/>
  <c r="N269" i="1"/>
  <c r="N267" i="1" s="1"/>
  <c r="L269" i="1"/>
  <c r="M233" i="1"/>
  <c r="N233" i="1"/>
  <c r="L233" i="1"/>
  <c r="M228" i="1"/>
  <c r="N228" i="1"/>
  <c r="L228" i="1"/>
  <c r="J228" i="1" s="1"/>
  <c r="J229" i="1"/>
  <c r="O229" i="1"/>
  <c r="J230" i="1"/>
  <c r="O230" i="1"/>
  <c r="M211" i="1"/>
  <c r="N211" i="1"/>
  <c r="L211" i="1"/>
  <c r="M199" i="1"/>
  <c r="N199" i="1"/>
  <c r="L199" i="1"/>
  <c r="N197" i="1"/>
  <c r="M193" i="1"/>
  <c r="L193" i="1"/>
  <c r="M169" i="1"/>
  <c r="N169" i="1"/>
  <c r="L169" i="1"/>
  <c r="M163" i="1"/>
  <c r="N163" i="1"/>
  <c r="L163" i="1"/>
  <c r="M167" i="1"/>
  <c r="N167" i="1"/>
  <c r="L167" i="1"/>
  <c r="M161" i="1"/>
  <c r="M159" i="1" s="1"/>
  <c r="N161" i="1"/>
  <c r="N159" i="1" s="1"/>
  <c r="L161" i="1"/>
  <c r="M90" i="1"/>
  <c r="N90" i="1"/>
  <c r="L90" i="1"/>
  <c r="M88" i="1"/>
  <c r="N88" i="1"/>
  <c r="L88" i="1"/>
  <c r="M86" i="1"/>
  <c r="N86" i="1"/>
  <c r="L86" i="1"/>
  <c r="M85" i="1"/>
  <c r="N85" i="1"/>
  <c r="L85" i="1"/>
  <c r="M76" i="1"/>
  <c r="N76" i="1"/>
  <c r="L76" i="1"/>
  <c r="M74" i="1"/>
  <c r="N74" i="1"/>
  <c r="L74" i="1"/>
  <c r="M66" i="1"/>
  <c r="N66" i="1"/>
  <c r="L66" i="1"/>
  <c r="M64" i="1"/>
  <c r="N64" i="1"/>
  <c r="L64" i="1"/>
  <c r="M50" i="1"/>
  <c r="M47" i="1" s="1"/>
  <c r="N50" i="1"/>
  <c r="L50" i="1"/>
  <c r="M46" i="1"/>
  <c r="N46" i="1"/>
  <c r="L46" i="1"/>
  <c r="J46" i="1"/>
  <c r="O46" i="1" s="1"/>
  <c r="J45" i="1"/>
  <c r="O45" i="1" s="1"/>
  <c r="R45" i="1" s="1"/>
  <c r="M44" i="1"/>
  <c r="N44" i="1"/>
  <c r="L44" i="1"/>
  <c r="J44" i="1" s="1"/>
  <c r="O44" i="1" s="1"/>
  <c r="M41" i="1"/>
  <c r="N41" i="1"/>
  <c r="N9" i="1" s="1"/>
  <c r="L41" i="1"/>
  <c r="M13" i="1"/>
  <c r="M9" i="1" s="1"/>
  <c r="N13" i="1"/>
  <c r="L13" i="1"/>
  <c r="L9" i="1" s="1"/>
  <c r="L267" i="1"/>
  <c r="L159" i="1"/>
  <c r="P267" i="1"/>
  <c r="G244" i="1"/>
  <c r="F230" i="1"/>
  <c r="Q230" i="1" s="1"/>
  <c r="G225" i="1"/>
  <c r="F228" i="1"/>
  <c r="H228" i="1"/>
  <c r="G44" i="1"/>
  <c r="F44" i="1" s="1"/>
  <c r="G46" i="1"/>
  <c r="F46" i="1"/>
  <c r="H46" i="1" s="1"/>
  <c r="E9" i="1"/>
  <c r="G13" i="1"/>
  <c r="G9" i="1" s="1"/>
  <c r="G22" i="1"/>
  <c r="G83" i="1"/>
  <c r="H230" i="1"/>
  <c r="R230" i="1" s="1"/>
  <c r="F132" i="1"/>
  <c r="H132" i="1"/>
  <c r="R132" i="1" s="1"/>
  <c r="Q132" i="1"/>
  <c r="G179" i="1"/>
  <c r="G176" i="1"/>
  <c r="P290" i="1"/>
  <c r="F289" i="1"/>
  <c r="H289" i="1" s="1"/>
  <c r="F293" i="1"/>
  <c r="H293" i="1" s="1"/>
  <c r="R293" i="1" s="1"/>
  <c r="Q293" i="1"/>
  <c r="J57" i="1"/>
  <c r="O57" i="1" s="1"/>
  <c r="J60" i="1"/>
  <c r="O60" i="1" s="1"/>
  <c r="J58" i="1"/>
  <c r="O58" i="1" s="1"/>
  <c r="J59" i="1"/>
  <c r="O59" i="1" s="1"/>
  <c r="J51" i="1"/>
  <c r="O51" i="1" s="1"/>
  <c r="J52" i="1"/>
  <c r="P51" i="1"/>
  <c r="P52" i="1"/>
  <c r="O52" i="1"/>
  <c r="P249" i="1"/>
  <c r="F249" i="1"/>
  <c r="Q249" i="1"/>
  <c r="F51" i="1"/>
  <c r="F57" i="1"/>
  <c r="Q57" i="1" s="1"/>
  <c r="F58" i="1"/>
  <c r="Q58" i="1" s="1"/>
  <c r="F59" i="1"/>
  <c r="Q59" i="1" s="1"/>
  <c r="F60" i="1"/>
  <c r="Q60" i="1" s="1"/>
  <c r="H57" i="1"/>
  <c r="H51" i="1"/>
  <c r="Q51" i="1"/>
  <c r="H249" i="1"/>
  <c r="R249" i="1"/>
  <c r="J216" i="1"/>
  <c r="P216" i="1"/>
  <c r="K83" i="1"/>
  <c r="J93" i="1"/>
  <c r="P198" i="1"/>
  <c r="J198" i="1"/>
  <c r="O198" i="1" s="1"/>
  <c r="R198" i="1" s="1"/>
  <c r="K189" i="1"/>
  <c r="J61" i="1"/>
  <c r="Q61" i="1"/>
  <c r="J55" i="1"/>
  <c r="J62" i="1"/>
  <c r="J63" i="1"/>
  <c r="P61" i="1"/>
  <c r="J280" i="1"/>
  <c r="J222" i="1"/>
  <c r="J212" i="1"/>
  <c r="O212" i="1"/>
  <c r="R212" i="1" s="1"/>
  <c r="P212" i="1"/>
  <c r="P82" i="1"/>
  <c r="K47" i="1"/>
  <c r="M83" i="1"/>
  <c r="N47" i="1"/>
  <c r="L83" i="1"/>
  <c r="M189" i="1"/>
  <c r="J82" i="1"/>
  <c r="Q82" i="1" s="1"/>
  <c r="N83" i="1"/>
  <c r="Q198" i="1"/>
  <c r="N189" i="1"/>
  <c r="L189" i="1"/>
  <c r="Q216" i="1"/>
  <c r="O216" i="1"/>
  <c r="R216" i="1" s="1"/>
  <c r="Q212" i="1"/>
  <c r="O61" i="1"/>
  <c r="R61" i="1"/>
  <c r="Q222" i="1"/>
  <c r="P222" i="1"/>
  <c r="J221" i="1"/>
  <c r="O221" i="1" s="1"/>
  <c r="R221" i="1" s="1"/>
  <c r="P221" i="1"/>
  <c r="P223" i="1"/>
  <c r="J223" i="1"/>
  <c r="J80" i="1"/>
  <c r="Q80" i="1" s="1"/>
  <c r="P80" i="1"/>
  <c r="J79" i="1"/>
  <c r="P224" i="1"/>
  <c r="K202" i="1"/>
  <c r="M202" i="1"/>
  <c r="N202" i="1"/>
  <c r="J224" i="1"/>
  <c r="Q224" i="1"/>
  <c r="L202" i="1"/>
  <c r="O222" i="1"/>
  <c r="R222" i="1" s="1"/>
  <c r="Q221" i="1"/>
  <c r="O224" i="1"/>
  <c r="R224" i="1" s="1"/>
  <c r="P110" i="1"/>
  <c r="F110" i="1"/>
  <c r="H110" i="1"/>
  <c r="R110" i="1" s="1"/>
  <c r="Q110" i="1"/>
  <c r="F39" i="1"/>
  <c r="H39" i="1"/>
  <c r="R39" i="1" s="1"/>
  <c r="F36" i="1"/>
  <c r="Q36" i="1" s="1"/>
  <c r="G34" i="1"/>
  <c r="F292" i="1"/>
  <c r="H292" i="1"/>
  <c r="R292" i="1" s="1"/>
  <c r="F290" i="1"/>
  <c r="H290" i="1" s="1"/>
  <c r="R290" i="1" s="1"/>
  <c r="Q292" i="1"/>
  <c r="H36" i="1"/>
  <c r="R36" i="1" s="1"/>
  <c r="Q39" i="1"/>
  <c r="F40" i="1"/>
  <c r="Q290" i="1"/>
  <c r="H40" i="1"/>
  <c r="R40" i="1"/>
  <c r="Q40" i="1"/>
  <c r="F23" i="1"/>
  <c r="H23" i="1" s="1"/>
  <c r="R23" i="1" s="1"/>
  <c r="F24" i="1"/>
  <c r="F21" i="1"/>
  <c r="H21" i="1" s="1"/>
  <c r="F13" i="1"/>
  <c r="H13" i="1" s="1"/>
  <c r="F22" i="1"/>
  <c r="Q22" i="1" s="1"/>
  <c r="Q23" i="1"/>
  <c r="O104" i="1"/>
  <c r="P97" i="1"/>
  <c r="P98" i="1"/>
  <c r="P99" i="1"/>
  <c r="P100" i="1"/>
  <c r="O97" i="1"/>
  <c r="O98" i="1"/>
  <c r="O99" i="1"/>
  <c r="F97" i="1"/>
  <c r="Q97" i="1" s="1"/>
  <c r="F98" i="1"/>
  <c r="Q98" i="1" s="1"/>
  <c r="F99" i="1"/>
  <c r="Q99" i="1" s="1"/>
  <c r="F100" i="1"/>
  <c r="Q100" i="1" s="1"/>
  <c r="H100" i="1"/>
  <c r="R100" i="1" s="1"/>
  <c r="H98" i="1"/>
  <c r="R98" i="1" s="1"/>
  <c r="O91" i="1"/>
  <c r="O89" i="1"/>
  <c r="O96" i="1"/>
  <c r="P96" i="1"/>
  <c r="F96" i="1"/>
  <c r="H96" i="1" s="1"/>
  <c r="R96" i="1" s="1"/>
  <c r="N154" i="1"/>
  <c r="M154" i="1"/>
  <c r="P191" i="1"/>
  <c r="P192" i="1"/>
  <c r="P193" i="1"/>
  <c r="P194" i="1"/>
  <c r="P195" i="1"/>
  <c r="P196" i="1"/>
  <c r="P197" i="1"/>
  <c r="P199" i="1"/>
  <c r="P200" i="1"/>
  <c r="P201" i="1"/>
  <c r="P204" i="1"/>
  <c r="P205" i="1"/>
  <c r="P206" i="1"/>
  <c r="P207" i="1"/>
  <c r="P208" i="1"/>
  <c r="P209" i="1"/>
  <c r="P210" i="1"/>
  <c r="P211" i="1"/>
  <c r="P213" i="1"/>
  <c r="P214" i="1"/>
  <c r="P215" i="1"/>
  <c r="P217" i="1"/>
  <c r="P218" i="1"/>
  <c r="P219" i="1"/>
  <c r="P220" i="1"/>
  <c r="P227" i="1"/>
  <c r="P232" i="1"/>
  <c r="P233" i="1"/>
  <c r="P234" i="1"/>
  <c r="P237" i="1"/>
  <c r="P238" i="1"/>
  <c r="P239" i="1"/>
  <c r="P240" i="1"/>
  <c r="P241" i="1"/>
  <c r="P242" i="1"/>
  <c r="P243" i="1"/>
  <c r="P246" i="1"/>
  <c r="P247" i="1"/>
  <c r="P248" i="1"/>
  <c r="P250" i="1"/>
  <c r="P251" i="1"/>
  <c r="P252" i="1"/>
  <c r="P253" i="1"/>
  <c r="P254" i="1"/>
  <c r="P257" i="1"/>
  <c r="P258" i="1"/>
  <c r="P259" i="1"/>
  <c r="P260" i="1"/>
  <c r="P263" i="1"/>
  <c r="P266" i="1"/>
  <c r="P269" i="1"/>
  <c r="P270" i="1"/>
  <c r="P273" i="1"/>
  <c r="P275" i="1"/>
  <c r="P276" i="1"/>
  <c r="P277" i="1"/>
  <c r="P278" i="1"/>
  <c r="P279" i="1"/>
  <c r="P282" i="1"/>
  <c r="P283" i="1"/>
  <c r="P284" i="1"/>
  <c r="Q170" i="1"/>
  <c r="P188" i="1"/>
  <c r="P161" i="1"/>
  <c r="P163" i="1"/>
  <c r="P165" i="1"/>
  <c r="P166" i="1"/>
  <c r="P167" i="1"/>
  <c r="P171" i="1"/>
  <c r="P172" i="1"/>
  <c r="P173" i="1"/>
  <c r="P174" i="1"/>
  <c r="P178" i="1"/>
  <c r="P179" i="1"/>
  <c r="P182" i="1"/>
  <c r="P183" i="1"/>
  <c r="P184" i="1"/>
  <c r="P185" i="1"/>
  <c r="P186" i="1"/>
  <c r="P187" i="1"/>
  <c r="P108" i="1"/>
  <c r="P109" i="1"/>
  <c r="P111" i="1"/>
  <c r="P112" i="1"/>
  <c r="P113" i="1"/>
  <c r="P114" i="1"/>
  <c r="P115" i="1"/>
  <c r="P116" i="1"/>
  <c r="P117" i="1"/>
  <c r="P118" i="1"/>
  <c r="P119" i="1"/>
  <c r="P121" i="1"/>
  <c r="P122" i="1"/>
  <c r="P123" i="1"/>
  <c r="P124" i="1"/>
  <c r="P125" i="1"/>
  <c r="P126" i="1"/>
  <c r="P127" i="1"/>
  <c r="P128" i="1"/>
  <c r="P129" i="1"/>
  <c r="P130" i="1"/>
  <c r="P131" i="1"/>
  <c r="P133" i="1"/>
  <c r="P134" i="1"/>
  <c r="P136" i="1"/>
  <c r="P137" i="1"/>
  <c r="P138" i="1"/>
  <c r="P142" i="1"/>
  <c r="P143" i="1"/>
  <c r="P144" i="1"/>
  <c r="P147" i="1"/>
  <c r="P150" i="1"/>
  <c r="P151" i="1"/>
  <c r="P152" i="1"/>
  <c r="P153" i="1"/>
  <c r="P156" i="1"/>
  <c r="P158" i="1"/>
  <c r="P85" i="1"/>
  <c r="P87" i="1"/>
  <c r="P88" i="1"/>
  <c r="P89" i="1"/>
  <c r="P91" i="1"/>
  <c r="P92" i="1"/>
  <c r="P93" i="1"/>
  <c r="P94" i="1"/>
  <c r="P95" i="1"/>
  <c r="P101" i="1"/>
  <c r="P102" i="1"/>
  <c r="P104" i="1"/>
  <c r="P105" i="1"/>
  <c r="P81" i="1"/>
  <c r="P75" i="1"/>
  <c r="P67" i="1"/>
  <c r="P50" i="1"/>
  <c r="P54" i="1"/>
  <c r="P55" i="1"/>
  <c r="P62" i="1"/>
  <c r="P63" i="1"/>
  <c r="P64" i="1"/>
  <c r="P65" i="1"/>
  <c r="P66" i="1"/>
  <c r="P68" i="1"/>
  <c r="P70" i="1"/>
  <c r="P71" i="1"/>
  <c r="P72" i="1"/>
  <c r="P73" i="1"/>
  <c r="P74" i="1"/>
  <c r="P76" i="1"/>
  <c r="P77" i="1"/>
  <c r="P78" i="1"/>
  <c r="P79" i="1"/>
  <c r="P49" i="1"/>
  <c r="P31" i="1"/>
  <c r="P12" i="1"/>
  <c r="P15" i="1"/>
  <c r="P16" i="1"/>
  <c r="P17" i="1"/>
  <c r="P18" i="1"/>
  <c r="P19" i="1"/>
  <c r="P20" i="1"/>
  <c r="P25" i="1"/>
  <c r="P21" i="1"/>
  <c r="P24" i="1"/>
  <c r="P26" i="1"/>
  <c r="P27" i="1"/>
  <c r="P30" i="1"/>
  <c r="P34" i="1"/>
  <c r="P37" i="1"/>
  <c r="P43" i="1"/>
  <c r="P11" i="1"/>
  <c r="J269" i="1"/>
  <c r="O269" i="1" s="1"/>
  <c r="O270" i="1"/>
  <c r="O282" i="1"/>
  <c r="O283" i="1"/>
  <c r="O266" i="1"/>
  <c r="O257" i="1"/>
  <c r="O260" i="1"/>
  <c r="K244" i="1"/>
  <c r="L244" i="1"/>
  <c r="M244" i="1"/>
  <c r="N244" i="1"/>
  <c r="J192" i="1"/>
  <c r="O192" i="1"/>
  <c r="J178" i="1"/>
  <c r="O178" i="1"/>
  <c r="O165" i="1"/>
  <c r="O170" i="1"/>
  <c r="O171" i="1"/>
  <c r="J114" i="1"/>
  <c r="O114" i="1" s="1"/>
  <c r="O93" i="1"/>
  <c r="O95" i="1"/>
  <c r="O101" i="1"/>
  <c r="O102" i="1"/>
  <c r="J85" i="1"/>
  <c r="O85" i="1"/>
  <c r="O55" i="1"/>
  <c r="O79" i="1"/>
  <c r="J49" i="1"/>
  <c r="O49" i="1"/>
  <c r="J24" i="1"/>
  <c r="O24" i="1" s="1"/>
  <c r="J26" i="1"/>
  <c r="O26" i="1" s="1"/>
  <c r="J27" i="1"/>
  <c r="O27" i="1" s="1"/>
  <c r="J28" i="1"/>
  <c r="O28" i="1" s="1"/>
  <c r="J29" i="1"/>
  <c r="O29" i="1" s="1"/>
  <c r="J30" i="1"/>
  <c r="O30" i="1" s="1"/>
  <c r="J31" i="1"/>
  <c r="O31" i="1" s="1"/>
  <c r="J32" i="1"/>
  <c r="O32" i="1" s="1"/>
  <c r="J33" i="1"/>
  <c r="O33" i="1" s="1"/>
  <c r="J34" i="1"/>
  <c r="O34" i="1" s="1"/>
  <c r="J37" i="1"/>
  <c r="O37" i="1" s="1"/>
  <c r="J41" i="1"/>
  <c r="O41" i="1" s="1"/>
  <c r="J42" i="1"/>
  <c r="O42" i="1" s="1"/>
  <c r="J43" i="1"/>
  <c r="O43" i="1" s="1"/>
  <c r="J13" i="1"/>
  <c r="J14" i="1"/>
  <c r="O14" i="1"/>
  <c r="J15" i="1"/>
  <c r="O15" i="1"/>
  <c r="J16" i="1"/>
  <c r="O16" i="1"/>
  <c r="J17" i="1"/>
  <c r="O17" i="1"/>
  <c r="J18" i="1"/>
  <c r="O18" i="1"/>
  <c r="J19" i="1"/>
  <c r="O19" i="1"/>
  <c r="J20" i="1"/>
  <c r="O20" i="1"/>
  <c r="J25" i="1"/>
  <c r="O25" i="1"/>
  <c r="J21" i="1"/>
  <c r="O21" i="1"/>
  <c r="J12" i="1"/>
  <c r="O12" i="1"/>
  <c r="J11" i="1"/>
  <c r="F264" i="1"/>
  <c r="F265" i="1"/>
  <c r="F266" i="1"/>
  <c r="Q266" i="1" s="1"/>
  <c r="F263" i="1"/>
  <c r="G261" i="1"/>
  <c r="F247" i="1"/>
  <c r="F248" i="1"/>
  <c r="H248" i="1"/>
  <c r="F250" i="1"/>
  <c r="H250" i="1"/>
  <c r="F251" i="1"/>
  <c r="F252" i="1"/>
  <c r="Q252" i="1" s="1"/>
  <c r="F253" i="1"/>
  <c r="F254" i="1"/>
  <c r="Q254" i="1"/>
  <c r="F255" i="1"/>
  <c r="F257" i="1"/>
  <c r="Q257" i="1" s="1"/>
  <c r="F258" i="1"/>
  <c r="H258" i="1" s="1"/>
  <c r="F259" i="1"/>
  <c r="H259" i="1" s="1"/>
  <c r="F260" i="1"/>
  <c r="Q260" i="1" s="1"/>
  <c r="F246" i="1"/>
  <c r="G235" i="1"/>
  <c r="F238" i="1"/>
  <c r="H238" i="1" s="1"/>
  <c r="F239" i="1"/>
  <c r="F240" i="1"/>
  <c r="H240" i="1"/>
  <c r="F241" i="1"/>
  <c r="H241" i="1"/>
  <c r="F242" i="1"/>
  <c r="H242" i="1"/>
  <c r="F243" i="1"/>
  <c r="F237" i="1"/>
  <c r="H237" i="1" s="1"/>
  <c r="F231" i="1"/>
  <c r="F232" i="1"/>
  <c r="F233" i="1"/>
  <c r="H233" i="1"/>
  <c r="F227" i="1"/>
  <c r="P202" i="1"/>
  <c r="F205" i="1"/>
  <c r="H205" i="1"/>
  <c r="F206" i="1"/>
  <c r="H206" i="1" s="1"/>
  <c r="F207" i="1"/>
  <c r="F208" i="1"/>
  <c r="F209" i="1"/>
  <c r="H209" i="1" s="1"/>
  <c r="F210" i="1"/>
  <c r="H210" i="1" s="1"/>
  <c r="R210" i="1" s="1"/>
  <c r="F211" i="1"/>
  <c r="F213" i="1"/>
  <c r="F214" i="1"/>
  <c r="H214" i="1" s="1"/>
  <c r="R214" i="1" s="1"/>
  <c r="F215" i="1"/>
  <c r="F217" i="1"/>
  <c r="H217" i="1"/>
  <c r="F218" i="1"/>
  <c r="H218" i="1"/>
  <c r="F219" i="1"/>
  <c r="H219" i="1"/>
  <c r="F220" i="1"/>
  <c r="F223" i="1"/>
  <c r="F204" i="1"/>
  <c r="H204" i="1"/>
  <c r="G202" i="1"/>
  <c r="F192" i="1"/>
  <c r="Q192" i="1" s="1"/>
  <c r="F193" i="1"/>
  <c r="H193" i="1" s="1"/>
  <c r="H189" i="1" s="1"/>
  <c r="F194" i="1"/>
  <c r="F195" i="1"/>
  <c r="F196" i="1"/>
  <c r="F197" i="1"/>
  <c r="F199" i="1"/>
  <c r="F191" i="1"/>
  <c r="G189" i="1"/>
  <c r="F156" i="1"/>
  <c r="H146" i="1"/>
  <c r="F109" i="1"/>
  <c r="F111" i="1"/>
  <c r="F112" i="1"/>
  <c r="F113" i="1"/>
  <c r="H113" i="1" s="1"/>
  <c r="F114" i="1"/>
  <c r="Q114" i="1"/>
  <c r="F115" i="1"/>
  <c r="F116" i="1"/>
  <c r="F117" i="1"/>
  <c r="H117" i="1"/>
  <c r="F118" i="1"/>
  <c r="F119" i="1"/>
  <c r="F120" i="1"/>
  <c r="F121" i="1"/>
  <c r="H121" i="1" s="1"/>
  <c r="H106" i="1" s="1"/>
  <c r="F122" i="1"/>
  <c r="F123" i="1"/>
  <c r="F124" i="1"/>
  <c r="F125" i="1"/>
  <c r="H125" i="1" s="1"/>
  <c r="F126" i="1"/>
  <c r="F127" i="1"/>
  <c r="F128" i="1"/>
  <c r="F129" i="1"/>
  <c r="H129" i="1"/>
  <c r="F130" i="1"/>
  <c r="F131" i="1"/>
  <c r="F133" i="1"/>
  <c r="F134" i="1"/>
  <c r="H134" i="1"/>
  <c r="F136" i="1"/>
  <c r="F137" i="1"/>
  <c r="F138" i="1"/>
  <c r="F140" i="1"/>
  <c r="F139" i="1" s="1"/>
  <c r="F141" i="1"/>
  <c r="H141" i="1" s="1"/>
  <c r="F142" i="1"/>
  <c r="F143" i="1"/>
  <c r="H143" i="1"/>
  <c r="F144" i="1"/>
  <c r="F145" i="1"/>
  <c r="H145" i="1" s="1"/>
  <c r="R145" i="1" s="1"/>
  <c r="F147" i="1"/>
  <c r="F148" i="1"/>
  <c r="F149" i="1"/>
  <c r="F150" i="1"/>
  <c r="F151" i="1"/>
  <c r="F108" i="1"/>
  <c r="F86" i="1"/>
  <c r="F87" i="1"/>
  <c r="H87" i="1" s="1"/>
  <c r="F88" i="1"/>
  <c r="F89" i="1"/>
  <c r="Q89" i="1" s="1"/>
  <c r="F90" i="1"/>
  <c r="F91" i="1"/>
  <c r="Q91" i="1" s="1"/>
  <c r="F92" i="1"/>
  <c r="F93" i="1"/>
  <c r="Q93" i="1"/>
  <c r="F94" i="1"/>
  <c r="Q94" i="1" s="1"/>
  <c r="F95" i="1"/>
  <c r="Q95" i="1"/>
  <c r="F101" i="1"/>
  <c r="F102" i="1"/>
  <c r="F103" i="1"/>
  <c r="F104" i="1"/>
  <c r="Q104" i="1" s="1"/>
  <c r="F85" i="1"/>
  <c r="F50" i="1"/>
  <c r="F54" i="1"/>
  <c r="F55" i="1"/>
  <c r="F62" i="1"/>
  <c r="H62" i="1"/>
  <c r="F63" i="1"/>
  <c r="Q63" i="1" s="1"/>
  <c r="F64" i="1"/>
  <c r="H64" i="1"/>
  <c r="F65" i="1"/>
  <c r="F66" i="1"/>
  <c r="H66" i="1" s="1"/>
  <c r="F67" i="1"/>
  <c r="F68" i="1"/>
  <c r="Q68" i="1"/>
  <c r="F70" i="1"/>
  <c r="F71" i="1"/>
  <c r="H71" i="1" s="1"/>
  <c r="H47" i="1" s="1"/>
  <c r="F72" i="1"/>
  <c r="F73" i="1"/>
  <c r="H73" i="1"/>
  <c r="F74" i="1"/>
  <c r="H74" i="1"/>
  <c r="F75" i="1"/>
  <c r="H75" i="1"/>
  <c r="F76" i="1"/>
  <c r="F77" i="1"/>
  <c r="H77" i="1" s="1"/>
  <c r="F78" i="1"/>
  <c r="F79" i="1"/>
  <c r="Q79" i="1" s="1"/>
  <c r="F49" i="1"/>
  <c r="Q49" i="1"/>
  <c r="F32" i="1"/>
  <c r="F34" i="1"/>
  <c r="F37" i="1"/>
  <c r="H37" i="1"/>
  <c r="F41" i="1"/>
  <c r="F43" i="1"/>
  <c r="F31" i="1"/>
  <c r="H31" i="1"/>
  <c r="R31" i="1" s="1"/>
  <c r="G267" i="1"/>
  <c r="F282" i="1"/>
  <c r="Q282" i="1" s="1"/>
  <c r="F283" i="1"/>
  <c r="Q283" i="1"/>
  <c r="H272" i="1"/>
  <c r="F270" i="1"/>
  <c r="Q270" i="1"/>
  <c r="F273" i="1"/>
  <c r="F274" i="1"/>
  <c r="F275" i="1"/>
  <c r="F276" i="1"/>
  <c r="F277" i="1"/>
  <c r="F278" i="1"/>
  <c r="H278" i="1" s="1"/>
  <c r="F279" i="1"/>
  <c r="F284" i="1"/>
  <c r="H284" i="1"/>
  <c r="F285" i="1"/>
  <c r="F286" i="1"/>
  <c r="H286" i="1"/>
  <c r="F287" i="1"/>
  <c r="F288" i="1"/>
  <c r="H288" i="1"/>
  <c r="F269" i="1"/>
  <c r="Q269" i="1" s="1"/>
  <c r="F188" i="1"/>
  <c r="F179" i="1"/>
  <c r="H179" i="1"/>
  <c r="F182" i="1"/>
  <c r="F176" i="1" s="1"/>
  <c r="F183" i="1"/>
  <c r="F184" i="1"/>
  <c r="F185" i="1"/>
  <c r="F186" i="1"/>
  <c r="F187" i="1"/>
  <c r="F178" i="1"/>
  <c r="H170" i="1"/>
  <c r="R170" i="1"/>
  <c r="F165" i="1"/>
  <c r="Q165" i="1" s="1"/>
  <c r="F166" i="1"/>
  <c r="H166" i="1" s="1"/>
  <c r="F167" i="1"/>
  <c r="F169" i="1"/>
  <c r="F171" i="1"/>
  <c r="Q171" i="1"/>
  <c r="F174" i="1"/>
  <c r="H54" i="1"/>
  <c r="H139" i="1"/>
  <c r="Q178" i="1"/>
  <c r="F225" i="1"/>
  <c r="J9" i="1"/>
  <c r="F47" i="1"/>
  <c r="F244" i="1"/>
  <c r="O13" i="1"/>
  <c r="R37" i="1"/>
  <c r="F280" i="1"/>
  <c r="F267" i="1"/>
  <c r="Q37" i="1"/>
  <c r="H34" i="1"/>
  <c r="R34" i="1" s="1"/>
  <c r="Q34" i="1"/>
  <c r="H171" i="1"/>
  <c r="R171" i="1"/>
  <c r="H270" i="1"/>
  <c r="R270" i="1"/>
  <c r="H283" i="1"/>
  <c r="R283" i="1"/>
  <c r="H269" i="1"/>
  <c r="H165" i="1"/>
  <c r="R165" i="1" s="1"/>
  <c r="Q43" i="1"/>
  <c r="H254" i="1"/>
  <c r="R254" i="1" s="1"/>
  <c r="Q32" i="1"/>
  <c r="H89" i="1"/>
  <c r="R89" i="1" s="1"/>
  <c r="Q41" i="1"/>
  <c r="H95" i="1"/>
  <c r="R95" i="1" s="1"/>
  <c r="H79" i="1"/>
  <c r="R79" i="1" s="1"/>
  <c r="H93" i="1"/>
  <c r="R93" i="1" s="1"/>
  <c r="H68" i="1"/>
  <c r="R68" i="1" s="1"/>
  <c r="H104" i="1"/>
  <c r="R104" i="1" s="1"/>
  <c r="H91" i="1"/>
  <c r="R91" i="1"/>
  <c r="H78" i="1"/>
  <c r="H70" i="1"/>
  <c r="H65" i="1"/>
  <c r="Q55" i="1"/>
  <c r="H55" i="1"/>
  <c r="R55" i="1" s="1"/>
  <c r="H142" i="1"/>
  <c r="H138" i="1"/>
  <c r="H133" i="1"/>
  <c r="H128" i="1"/>
  <c r="H124" i="1"/>
  <c r="H116" i="1"/>
  <c r="H112" i="1"/>
  <c r="H147" i="1"/>
  <c r="Q101" i="1"/>
  <c r="H101" i="1"/>
  <c r="R101" i="1"/>
  <c r="H92" i="1"/>
  <c r="H88" i="1"/>
  <c r="H174" i="1"/>
  <c r="Q85" i="1"/>
  <c r="F83" i="1"/>
  <c r="H85" i="1"/>
  <c r="H185" i="1"/>
  <c r="H178" i="1"/>
  <c r="H184" i="1"/>
  <c r="H188" i="1"/>
  <c r="H277" i="1"/>
  <c r="H273" i="1"/>
  <c r="H282" i="1"/>
  <c r="R282" i="1" s="1"/>
  <c r="H94" i="1"/>
  <c r="R94" i="1"/>
  <c r="H150" i="1"/>
  <c r="H196" i="1"/>
  <c r="H192" i="1"/>
  <c r="R192" i="1"/>
  <c r="H232" i="1"/>
  <c r="H253" i="1"/>
  <c r="H263" i="1"/>
  <c r="O11" i="1"/>
  <c r="H197" i="1"/>
  <c r="H187" i="1"/>
  <c r="H276" i="1"/>
  <c r="H137" i="1"/>
  <c r="H131" i="1"/>
  <c r="H127" i="1"/>
  <c r="H123" i="1"/>
  <c r="H119" i="1"/>
  <c r="H115" i="1"/>
  <c r="H111" i="1"/>
  <c r="H191" i="1"/>
  <c r="H195" i="1"/>
  <c r="H223" i="1"/>
  <c r="H202" i="1" s="1"/>
  <c r="H213" i="1"/>
  <c r="H208" i="1"/>
  <c r="H246" i="1"/>
  <c r="H257" i="1"/>
  <c r="R257" i="1"/>
  <c r="H252" i="1"/>
  <c r="R252" i="1"/>
  <c r="H247" i="1"/>
  <c r="H266" i="1"/>
  <c r="R266" i="1"/>
  <c r="H183" i="1"/>
  <c r="H167" i="1"/>
  <c r="H186" i="1"/>
  <c r="H182" i="1"/>
  <c r="H287" i="1"/>
  <c r="H279" i="1"/>
  <c r="H275" i="1"/>
  <c r="Q31" i="1"/>
  <c r="H49" i="1"/>
  <c r="R49" i="1" s="1"/>
  <c r="H76" i="1"/>
  <c r="H72" i="1"/>
  <c r="H67" i="1"/>
  <c r="H63" i="1"/>
  <c r="R63" i="1" s="1"/>
  <c r="H50" i="1"/>
  <c r="H108" i="1"/>
  <c r="H144" i="1"/>
  <c r="H136" i="1"/>
  <c r="H130" i="1"/>
  <c r="H126" i="1"/>
  <c r="H122" i="1"/>
  <c r="H118" i="1"/>
  <c r="H114" i="1"/>
  <c r="R114" i="1"/>
  <c r="H109" i="1"/>
  <c r="H156" i="1"/>
  <c r="H154" i="1"/>
  <c r="H199" i="1"/>
  <c r="H194" i="1"/>
  <c r="H220" i="1"/>
  <c r="H215" i="1"/>
  <c r="H211" i="1"/>
  <c r="H207" i="1"/>
  <c r="H227" i="1"/>
  <c r="H243" i="1"/>
  <c r="H239" i="1"/>
  <c r="F235" i="1"/>
  <c r="H260" i="1"/>
  <c r="R260" i="1"/>
  <c r="H251" i="1"/>
  <c r="H43" i="1"/>
  <c r="R43" i="1" s="1"/>
  <c r="F189" i="1"/>
  <c r="F106" i="1"/>
  <c r="R178" i="1"/>
  <c r="H176" i="1"/>
  <c r="O9" i="1"/>
  <c r="R269" i="1"/>
  <c r="H280" i="1"/>
  <c r="H235" i="1"/>
  <c r="R85" i="1"/>
  <c r="F163" i="1"/>
  <c r="H163" i="1" s="1"/>
  <c r="F161" i="1"/>
  <c r="F159" i="1" s="1"/>
  <c r="F172" i="1"/>
  <c r="F168" i="1"/>
  <c r="J140" i="1"/>
  <c r="J141" i="1"/>
  <c r="O141" i="1"/>
  <c r="R141" i="1" s="1"/>
  <c r="J142" i="1"/>
  <c r="J143" i="1"/>
  <c r="J144" i="1"/>
  <c r="J145" i="1"/>
  <c r="J146" i="1"/>
  <c r="O146" i="1" s="1"/>
  <c r="J147" i="1"/>
  <c r="J148" i="1"/>
  <c r="J128" i="1"/>
  <c r="O128" i="1" s="1"/>
  <c r="R128" i="1" s="1"/>
  <c r="J129" i="1"/>
  <c r="J130" i="1"/>
  <c r="J131" i="1"/>
  <c r="J133" i="1"/>
  <c r="J87" i="1"/>
  <c r="J65" i="1"/>
  <c r="P44" i="1"/>
  <c r="P45" i="1"/>
  <c r="J191" i="1"/>
  <c r="J264" i="1"/>
  <c r="F12" i="1"/>
  <c r="H12" i="1" s="1"/>
  <c r="R12" i="1" s="1"/>
  <c r="Q13" i="1"/>
  <c r="F14" i="1"/>
  <c r="F15" i="1"/>
  <c r="F16" i="1"/>
  <c r="Q16" i="1" s="1"/>
  <c r="F17" i="1"/>
  <c r="F18" i="1"/>
  <c r="F19" i="1"/>
  <c r="F20" i="1"/>
  <c r="F25" i="1"/>
  <c r="F26" i="1"/>
  <c r="F27" i="1"/>
  <c r="F30" i="1"/>
  <c r="F11" i="1"/>
  <c r="H11" i="1" s="1"/>
  <c r="R11" i="1" s="1"/>
  <c r="P47" i="1"/>
  <c r="P154" i="1"/>
  <c r="P176" i="1"/>
  <c r="P189" i="1"/>
  <c r="P235" i="1"/>
  <c r="Q17" i="1"/>
  <c r="H17" i="1"/>
  <c r="R17" i="1"/>
  <c r="O191" i="1"/>
  <c r="Q191" i="1"/>
  <c r="P289" i="1"/>
  <c r="P140" i="1"/>
  <c r="H140" i="1"/>
  <c r="P285" i="1"/>
  <c r="H285" i="1"/>
  <c r="Q11" i="1"/>
  <c r="Q26" i="1"/>
  <c r="H26" i="1"/>
  <c r="R26" i="1" s="1"/>
  <c r="Q20" i="1"/>
  <c r="H20" i="1"/>
  <c r="R20" i="1"/>
  <c r="H16" i="1"/>
  <c r="R16" i="1" s="1"/>
  <c r="Q12" i="1"/>
  <c r="O133" i="1"/>
  <c r="R133" i="1" s="1"/>
  <c r="Q133" i="1"/>
  <c r="Q128" i="1"/>
  <c r="O145" i="1"/>
  <c r="Q145" i="1"/>
  <c r="P286" i="1"/>
  <c r="P244" i="1"/>
  <c r="P255" i="1"/>
  <c r="H255" i="1"/>
  <c r="H244" i="1"/>
  <c r="P120" i="1"/>
  <c r="H120" i="1"/>
  <c r="P274" i="1"/>
  <c r="H274" i="1"/>
  <c r="Q27" i="1"/>
  <c r="H27" i="1"/>
  <c r="R27" i="1" s="1"/>
  <c r="O87" i="1"/>
  <c r="R87" i="1" s="1"/>
  <c r="Q87" i="1"/>
  <c r="O142" i="1"/>
  <c r="R142" i="1"/>
  <c r="Q142" i="1"/>
  <c r="H161" i="1"/>
  <c r="P169" i="1"/>
  <c r="H169" i="1"/>
  <c r="P265" i="1"/>
  <c r="H265" i="1"/>
  <c r="P225" i="1"/>
  <c r="P231" i="1"/>
  <c r="H231" i="1"/>
  <c r="H225" i="1"/>
  <c r="P168" i="1"/>
  <c r="P86" i="1"/>
  <c r="P83" i="1"/>
  <c r="H86" i="1"/>
  <c r="P148" i="1"/>
  <c r="H148" i="1"/>
  <c r="Q30" i="1"/>
  <c r="H30" i="1"/>
  <c r="R30" i="1" s="1"/>
  <c r="Q24" i="1"/>
  <c r="H24" i="1"/>
  <c r="R24" i="1"/>
  <c r="Q19" i="1"/>
  <c r="H19" i="1"/>
  <c r="R19" i="1" s="1"/>
  <c r="Q15" i="1"/>
  <c r="H15" i="1"/>
  <c r="R15" i="1"/>
  <c r="O131" i="1"/>
  <c r="R131" i="1"/>
  <c r="Q131" i="1"/>
  <c r="O148" i="1"/>
  <c r="R148" i="1" s="1"/>
  <c r="Q148" i="1"/>
  <c r="O144" i="1"/>
  <c r="R144" i="1" s="1"/>
  <c r="Q144" i="1"/>
  <c r="O140" i="1"/>
  <c r="R140" i="1" s="1"/>
  <c r="Q140" i="1"/>
  <c r="P287" i="1"/>
  <c r="H168" i="1"/>
  <c r="P103" i="1"/>
  <c r="H103" i="1"/>
  <c r="Q25" i="1"/>
  <c r="H25" i="1"/>
  <c r="R25" i="1" s="1"/>
  <c r="O129" i="1"/>
  <c r="R129" i="1" s="1"/>
  <c r="Q129" i="1"/>
  <c r="P264" i="1"/>
  <c r="H264" i="1"/>
  <c r="P90" i="1"/>
  <c r="H90" i="1"/>
  <c r="P149" i="1"/>
  <c r="H149" i="1"/>
  <c r="Q21" i="1"/>
  <c r="R21" i="1"/>
  <c r="Q18" i="1"/>
  <c r="H18" i="1"/>
  <c r="R18" i="1" s="1"/>
  <c r="O264" i="1"/>
  <c r="Q264" i="1"/>
  <c r="O65" i="1"/>
  <c r="R65" i="1" s="1"/>
  <c r="Q65" i="1"/>
  <c r="O130" i="1"/>
  <c r="R130" i="1"/>
  <c r="Q130" i="1"/>
  <c r="O147" i="1"/>
  <c r="R147" i="1" s="1"/>
  <c r="Q147" i="1"/>
  <c r="O143" i="1"/>
  <c r="R143" i="1"/>
  <c r="Q143" i="1"/>
  <c r="P280" i="1"/>
  <c r="P288" i="1"/>
  <c r="H172" i="1"/>
  <c r="R172" i="1" s="1"/>
  <c r="P261" i="1"/>
  <c r="H261" i="1"/>
  <c r="R264" i="1"/>
  <c r="H83" i="1"/>
  <c r="P271" i="1"/>
  <c r="H271" i="1"/>
  <c r="H267" i="1" s="1"/>
  <c r="R191" i="1"/>
  <c r="P145" i="1"/>
  <c r="P106" i="1"/>
  <c r="J284" i="1"/>
  <c r="O284" i="1"/>
  <c r="R284" i="1" s="1"/>
  <c r="Q284" i="1"/>
  <c r="J172" i="1"/>
  <c r="J169" i="1"/>
  <c r="Q169" i="1" s="1"/>
  <c r="O172" i="1"/>
  <c r="Q172" i="1"/>
  <c r="K106" i="1"/>
  <c r="J113" i="1"/>
  <c r="O113" i="1" s="1"/>
  <c r="R113" i="1" s="1"/>
  <c r="Q113" i="1"/>
  <c r="J215" i="1"/>
  <c r="O215" i="1" s="1"/>
  <c r="R215" i="1" s="1"/>
  <c r="Q215" i="1"/>
  <c r="N176" i="1"/>
  <c r="M176" i="1"/>
  <c r="J186" i="1"/>
  <c r="O186" i="1" s="1"/>
  <c r="R186" i="1" s="1"/>
  <c r="K176" i="1"/>
  <c r="Q186" i="1"/>
  <c r="L176" i="1"/>
  <c r="F202" i="1"/>
  <c r="J214" i="1"/>
  <c r="J288" i="1"/>
  <c r="Q288" i="1" s="1"/>
  <c r="J285" i="1"/>
  <c r="J286" i="1"/>
  <c r="J287" i="1"/>
  <c r="K235" i="1"/>
  <c r="J241" i="1"/>
  <c r="Q241" i="1" s="1"/>
  <c r="J240" i="1"/>
  <c r="J242" i="1"/>
  <c r="L225" i="1"/>
  <c r="M225" i="1"/>
  <c r="N225" i="1"/>
  <c r="J232" i="1"/>
  <c r="J233" i="1"/>
  <c r="J234" i="1"/>
  <c r="O234" i="1" s="1"/>
  <c r="R234" i="1" s="1"/>
  <c r="J217" i="1"/>
  <c r="O217" i="1" s="1"/>
  <c r="R217" i="1" s="1"/>
  <c r="J213" i="1"/>
  <c r="J211" i="1"/>
  <c r="J210" i="1"/>
  <c r="J218" i="1"/>
  <c r="O218" i="1" s="1"/>
  <c r="R218" i="1" s="1"/>
  <c r="J219" i="1"/>
  <c r="Q219" i="1" s="1"/>
  <c r="J220" i="1"/>
  <c r="J209" i="1"/>
  <c r="J208" i="1"/>
  <c r="J207" i="1"/>
  <c r="Q207" i="1" s="1"/>
  <c r="J206" i="1"/>
  <c r="O206" i="1" s="1"/>
  <c r="R206" i="1" s="1"/>
  <c r="J205" i="1"/>
  <c r="O205" i="1" s="1"/>
  <c r="R205" i="1" s="1"/>
  <c r="J92" i="1"/>
  <c r="J50" i="1"/>
  <c r="O223" i="1"/>
  <c r="R223" i="1" s="1"/>
  <c r="Q223" i="1"/>
  <c r="O207" i="1"/>
  <c r="R207" i="1" s="1"/>
  <c r="O288" i="1"/>
  <c r="R288" i="1" s="1"/>
  <c r="O210" i="1"/>
  <c r="Q210" i="1"/>
  <c r="Q285" i="1"/>
  <c r="O285" i="1"/>
  <c r="R285" i="1" s="1"/>
  <c r="O211" i="1"/>
  <c r="R211" i="1" s="1"/>
  <c r="Q211" i="1"/>
  <c r="O92" i="1"/>
  <c r="R92" i="1"/>
  <c r="Q92" i="1"/>
  <c r="O208" i="1"/>
  <c r="R208" i="1" s="1"/>
  <c r="Q208" i="1"/>
  <c r="O219" i="1"/>
  <c r="R219" i="1" s="1"/>
  <c r="O213" i="1"/>
  <c r="R213" i="1" s="1"/>
  <c r="Q213" i="1"/>
  <c r="O232" i="1"/>
  <c r="R232" i="1"/>
  <c r="Q232" i="1"/>
  <c r="O242" i="1"/>
  <c r="R242" i="1" s="1"/>
  <c r="Q242" i="1"/>
  <c r="Q287" i="1"/>
  <c r="O287" i="1"/>
  <c r="R287" i="1" s="1"/>
  <c r="O214" i="1"/>
  <c r="Q214" i="1"/>
  <c r="Q206" i="1"/>
  <c r="Q234" i="1"/>
  <c r="O241" i="1"/>
  <c r="R241" i="1" s="1"/>
  <c r="O50" i="1"/>
  <c r="Q50" i="1"/>
  <c r="O220" i="1"/>
  <c r="R220" i="1" s="1"/>
  <c r="Q220" i="1"/>
  <c r="O233" i="1"/>
  <c r="R233" i="1" s="1"/>
  <c r="Q233" i="1"/>
  <c r="Q205" i="1"/>
  <c r="O209" i="1"/>
  <c r="R209" i="1" s="1"/>
  <c r="Q209" i="1"/>
  <c r="Q217" i="1"/>
  <c r="O240" i="1"/>
  <c r="R240" i="1" s="1"/>
  <c r="Q240" i="1"/>
  <c r="Q286" i="1"/>
  <c r="O286" i="1"/>
  <c r="R286" i="1" s="1"/>
  <c r="L106" i="1"/>
  <c r="M106" i="1"/>
  <c r="N106" i="1"/>
  <c r="M235" i="1"/>
  <c r="L235" i="1"/>
  <c r="N235" i="1"/>
  <c r="R50" i="1"/>
  <c r="J188" i="1"/>
  <c r="Q188" i="1" s="1"/>
  <c r="J187" i="1"/>
  <c r="J185" i="1"/>
  <c r="J184" i="1"/>
  <c r="J183" i="1"/>
  <c r="O183" i="1" s="1"/>
  <c r="J182" i="1"/>
  <c r="J179" i="1"/>
  <c r="Q179" i="1" s="1"/>
  <c r="J163" i="1"/>
  <c r="O187" i="1"/>
  <c r="R187" i="1" s="1"/>
  <c r="Q187" i="1"/>
  <c r="O182" i="1"/>
  <c r="R182" i="1" s="1"/>
  <c r="Q182" i="1"/>
  <c r="O163" i="1"/>
  <c r="Q163" i="1"/>
  <c r="O184" i="1"/>
  <c r="R184" i="1"/>
  <c r="Q184" i="1"/>
  <c r="O179" i="1"/>
  <c r="R179" i="1" s="1"/>
  <c r="O185" i="1"/>
  <c r="R185" i="1" s="1"/>
  <c r="Q185" i="1"/>
  <c r="J173" i="1"/>
  <c r="O173" i="1" s="1"/>
  <c r="R173" i="1" s="1"/>
  <c r="Q173" i="1"/>
  <c r="J109" i="1"/>
  <c r="O109" i="1" s="1"/>
  <c r="R109" i="1" s="1"/>
  <c r="P13" i="1"/>
  <c r="K271" i="1"/>
  <c r="K267" i="1" s="1"/>
  <c r="M267" i="1"/>
  <c r="J271" i="1"/>
  <c r="R13" i="1"/>
  <c r="P41" i="1"/>
  <c r="H41" i="1"/>
  <c r="F261" i="1"/>
  <c r="J289" i="1"/>
  <c r="O289" i="1" s="1"/>
  <c r="R289" i="1" s="1"/>
  <c r="P9" i="1"/>
  <c r="P32" i="1"/>
  <c r="H32" i="1"/>
  <c r="R32" i="1"/>
  <c r="P28" i="1"/>
  <c r="R41" i="1"/>
  <c r="J273" i="1"/>
  <c r="J277" i="1"/>
  <c r="O277" i="1" s="1"/>
  <c r="R277" i="1" s="1"/>
  <c r="J279" i="1"/>
  <c r="O279" i="1" s="1"/>
  <c r="R279" i="1" s="1"/>
  <c r="J278" i="1"/>
  <c r="Q277" i="1"/>
  <c r="Q280" i="1"/>
  <c r="O280" i="1"/>
  <c r="R280" i="1"/>
  <c r="O273" i="1"/>
  <c r="R273" i="1" s="1"/>
  <c r="Q273" i="1"/>
  <c r="O278" i="1"/>
  <c r="R278" i="1"/>
  <c r="Q278" i="1"/>
  <c r="Q279" i="1"/>
  <c r="J161" i="1"/>
  <c r="O161" i="1" s="1"/>
  <c r="Q161" i="1"/>
  <c r="J67" i="1"/>
  <c r="J54" i="1"/>
  <c r="Q54" i="1" s="1"/>
  <c r="J272" i="1"/>
  <c r="O272" i="1" s="1"/>
  <c r="J274" i="1"/>
  <c r="J275" i="1"/>
  <c r="J276" i="1"/>
  <c r="J105" i="1"/>
  <c r="O105" i="1" s="1"/>
  <c r="J152" i="1"/>
  <c r="J112" i="1"/>
  <c r="J247" i="1"/>
  <c r="J246" i="1"/>
  <c r="O246" i="1" s="1"/>
  <c r="J243" i="1"/>
  <c r="J239" i="1"/>
  <c r="J167" i="1"/>
  <c r="J153" i="1"/>
  <c r="J90" i="1"/>
  <c r="L154" i="1"/>
  <c r="K154" i="1"/>
  <c r="J265" i="1"/>
  <c r="L77" i="1"/>
  <c r="L47" i="1"/>
  <c r="J78" i="1"/>
  <c r="J86" i="1"/>
  <c r="J111" i="1"/>
  <c r="J115" i="1"/>
  <c r="O115" i="1" s="1"/>
  <c r="J116" i="1"/>
  <c r="J117" i="1"/>
  <c r="J118" i="1"/>
  <c r="J119" i="1"/>
  <c r="J120" i="1"/>
  <c r="J121" i="1"/>
  <c r="J122" i="1"/>
  <c r="J123" i="1"/>
  <c r="Q123" i="1" s="1"/>
  <c r="J124" i="1"/>
  <c r="J125" i="1"/>
  <c r="J126" i="1"/>
  <c r="J127" i="1"/>
  <c r="J134" i="1"/>
  <c r="J136" i="1"/>
  <c r="J137" i="1"/>
  <c r="J138" i="1"/>
  <c r="J139" i="1"/>
  <c r="J149" i="1"/>
  <c r="J150" i="1"/>
  <c r="J156" i="1"/>
  <c r="J158" i="1"/>
  <c r="J168" i="1"/>
  <c r="J174" i="1"/>
  <c r="J262" i="1"/>
  <c r="J263" i="1"/>
  <c r="J227" i="1"/>
  <c r="J245" i="1"/>
  <c r="J248" i="1"/>
  <c r="J250" i="1"/>
  <c r="J258" i="1"/>
  <c r="J251" i="1"/>
  <c r="J259" i="1"/>
  <c r="O259" i="1" s="1"/>
  <c r="J253" i="1"/>
  <c r="J255" i="1"/>
  <c r="J268" i="1"/>
  <c r="J88" i="1"/>
  <c r="O88" i="1" s="1"/>
  <c r="R88" i="1" s="1"/>
  <c r="J103" i="1"/>
  <c r="O103" i="1" s="1"/>
  <c r="R103" i="1" s="1"/>
  <c r="J64" i="1"/>
  <c r="J66" i="1"/>
  <c r="J70" i="1"/>
  <c r="Q70" i="1" s="1"/>
  <c r="J71" i="1"/>
  <c r="O71" i="1" s="1"/>
  <c r="R71" i="1" s="1"/>
  <c r="J72" i="1"/>
  <c r="J73" i="1"/>
  <c r="J75" i="1"/>
  <c r="Q75" i="1" s="1"/>
  <c r="J74" i="1"/>
  <c r="Q74" i="1" s="1"/>
  <c r="J76" i="1"/>
  <c r="Q76" i="1"/>
  <c r="J81" i="1"/>
  <c r="O81" i="1" s="1"/>
  <c r="R81" i="1" s="1"/>
  <c r="J201" i="1"/>
  <c r="Q201" i="1" s="1"/>
  <c r="J195" i="1"/>
  <c r="J196" i="1"/>
  <c r="O196" i="1"/>
  <c r="R196" i="1"/>
  <c r="J197" i="1"/>
  <c r="J199" i="1"/>
  <c r="J200" i="1"/>
  <c r="Q200" i="1" s="1"/>
  <c r="J238" i="1"/>
  <c r="O238" i="1" s="1"/>
  <c r="J237" i="1"/>
  <c r="J166" i="1"/>
  <c r="J108" i="1"/>
  <c r="Q108" i="1" s="1"/>
  <c r="L261" i="1"/>
  <c r="M261" i="1"/>
  <c r="N261" i="1"/>
  <c r="P46" i="1"/>
  <c r="Q46" i="1"/>
  <c r="O72" i="1"/>
  <c r="R72" i="1"/>
  <c r="Q72" i="1"/>
  <c r="R259" i="1"/>
  <c r="Q259" i="1"/>
  <c r="J154" i="1"/>
  <c r="Q154" i="1" s="1"/>
  <c r="O156" i="1"/>
  <c r="Q156" i="1"/>
  <c r="O138" i="1"/>
  <c r="R138" i="1" s="1"/>
  <c r="Q138" i="1"/>
  <c r="O123" i="1"/>
  <c r="R123" i="1"/>
  <c r="O119" i="1"/>
  <c r="R119" i="1"/>
  <c r="Q119" i="1"/>
  <c r="R115" i="1"/>
  <c r="Q115" i="1"/>
  <c r="O78" i="1"/>
  <c r="R78" i="1" s="1"/>
  <c r="Q78" i="1"/>
  <c r="J244" i="1"/>
  <c r="Q244" i="1" s="1"/>
  <c r="R246" i="1"/>
  <c r="Q246" i="1"/>
  <c r="Q105" i="1"/>
  <c r="R105" i="1"/>
  <c r="O166" i="1"/>
  <c r="Q166" i="1"/>
  <c r="O200" i="1"/>
  <c r="R200" i="1" s="1"/>
  <c r="O195" i="1"/>
  <c r="R195" i="1" s="1"/>
  <c r="Q195" i="1"/>
  <c r="O74" i="1"/>
  <c r="R74" i="1" s="1"/>
  <c r="Q71" i="1"/>
  <c r="O62" i="1"/>
  <c r="R62" i="1"/>
  <c r="Q62" i="1"/>
  <c r="O251" i="1"/>
  <c r="R251" i="1" s="1"/>
  <c r="Q251" i="1"/>
  <c r="O174" i="1"/>
  <c r="R174" i="1"/>
  <c r="Q174" i="1"/>
  <c r="O150" i="1"/>
  <c r="R150" i="1"/>
  <c r="Q150" i="1"/>
  <c r="O137" i="1"/>
  <c r="R137" i="1"/>
  <c r="Q137" i="1"/>
  <c r="O126" i="1"/>
  <c r="R126" i="1" s="1"/>
  <c r="Q126" i="1"/>
  <c r="O122" i="1"/>
  <c r="R122" i="1"/>
  <c r="Q122" i="1"/>
  <c r="O118" i="1"/>
  <c r="R118" i="1" s="1"/>
  <c r="Q118" i="1"/>
  <c r="O111" i="1"/>
  <c r="R111" i="1"/>
  <c r="Q111" i="1"/>
  <c r="O167" i="1"/>
  <c r="R167" i="1" s="1"/>
  <c r="Q167" i="1"/>
  <c r="O247" i="1"/>
  <c r="R247" i="1" s="1"/>
  <c r="Q247" i="1"/>
  <c r="O276" i="1"/>
  <c r="R276" i="1"/>
  <c r="Q276" i="1"/>
  <c r="O54" i="1"/>
  <c r="R54" i="1" s="1"/>
  <c r="Q88" i="1"/>
  <c r="O237" i="1"/>
  <c r="Q237" i="1"/>
  <c r="O70" i="1"/>
  <c r="R70" i="1"/>
  <c r="O239" i="1"/>
  <c r="R239" i="1"/>
  <c r="Q239" i="1"/>
  <c r="O112" i="1"/>
  <c r="R112" i="1"/>
  <c r="Q112" i="1"/>
  <c r="O275" i="1"/>
  <c r="R275" i="1" s="1"/>
  <c r="Q275" i="1"/>
  <c r="O67" i="1"/>
  <c r="R67" i="1"/>
  <c r="Q67" i="1"/>
  <c r="O108" i="1"/>
  <c r="R108" i="1" s="1"/>
  <c r="Q196" i="1"/>
  <c r="O64" i="1"/>
  <c r="R64" i="1"/>
  <c r="Q64" i="1"/>
  <c r="O248" i="1"/>
  <c r="R248" i="1" s="1"/>
  <c r="Q248" i="1"/>
  <c r="O127" i="1"/>
  <c r="R127" i="1" s="1"/>
  <c r="Q127" i="1"/>
  <c r="O199" i="1"/>
  <c r="R199" i="1"/>
  <c r="Q199" i="1"/>
  <c r="O75" i="1"/>
  <c r="R75" i="1" s="1"/>
  <c r="O255" i="1"/>
  <c r="R255" i="1"/>
  <c r="Q255" i="1"/>
  <c r="O258" i="1"/>
  <c r="R258" i="1"/>
  <c r="Q258" i="1"/>
  <c r="O227" i="1"/>
  <c r="R227" i="1" s="1"/>
  <c r="Q227" i="1"/>
  <c r="O168" i="1"/>
  <c r="R168" i="1"/>
  <c r="Q168" i="1"/>
  <c r="O149" i="1"/>
  <c r="R149" i="1"/>
  <c r="Q149" i="1"/>
  <c r="O136" i="1"/>
  <c r="R136" i="1" s="1"/>
  <c r="Q136" i="1"/>
  <c r="O125" i="1"/>
  <c r="R125" i="1"/>
  <c r="Q125" i="1"/>
  <c r="O121" i="1"/>
  <c r="R121" i="1"/>
  <c r="Q121" i="1"/>
  <c r="O117" i="1"/>
  <c r="R117" i="1"/>
  <c r="Q117" i="1"/>
  <c r="O265" i="1"/>
  <c r="R265" i="1" s="1"/>
  <c r="Q265" i="1"/>
  <c r="O197" i="1"/>
  <c r="R197" i="1"/>
  <c r="Q197" i="1"/>
  <c r="Q81" i="1"/>
  <c r="O73" i="1"/>
  <c r="R73" i="1" s="1"/>
  <c r="Q73" i="1"/>
  <c r="O66" i="1"/>
  <c r="R66" i="1"/>
  <c r="Q66" i="1"/>
  <c r="Q103" i="1"/>
  <c r="O253" i="1"/>
  <c r="R253" i="1"/>
  <c r="Q253" i="1"/>
  <c r="O250" i="1"/>
  <c r="R250" i="1" s="1"/>
  <c r="Q250" i="1"/>
  <c r="O263" i="1"/>
  <c r="R263" i="1" s="1"/>
  <c r="Q263" i="1"/>
  <c r="Q158" i="1"/>
  <c r="O158" i="1"/>
  <c r="R158" i="1"/>
  <c r="O139" i="1"/>
  <c r="R139" i="1" s="1"/>
  <c r="Q139" i="1"/>
  <c r="O134" i="1"/>
  <c r="R134" i="1"/>
  <c r="Q134" i="1"/>
  <c r="O124" i="1"/>
  <c r="R124" i="1"/>
  <c r="Q124" i="1"/>
  <c r="O120" i="1"/>
  <c r="R120" i="1"/>
  <c r="Q120" i="1"/>
  <c r="O116" i="1"/>
  <c r="R116" i="1" s="1"/>
  <c r="Q116" i="1"/>
  <c r="O86" i="1"/>
  <c r="O83" i="1" s="1"/>
  <c r="Q86" i="1"/>
  <c r="O90" i="1"/>
  <c r="R90" i="1"/>
  <c r="Q90" i="1"/>
  <c r="O243" i="1"/>
  <c r="R243" i="1" s="1"/>
  <c r="Q243" i="1"/>
  <c r="Q152" i="1"/>
  <c r="O152" i="1"/>
  <c r="R152" i="1" s="1"/>
  <c r="O274" i="1"/>
  <c r="R274" i="1"/>
  <c r="Q274" i="1"/>
  <c r="O76" i="1"/>
  <c r="J106" i="1"/>
  <c r="Q106" i="1"/>
  <c r="J204" i="1"/>
  <c r="O204" i="1" s="1"/>
  <c r="J231" i="1"/>
  <c r="O231" i="1"/>
  <c r="R231" i="1" s="1"/>
  <c r="K225" i="1"/>
  <c r="J267" i="1"/>
  <c r="Q267" i="1"/>
  <c r="K261" i="1"/>
  <c r="J77" i="1"/>
  <c r="J194" i="1"/>
  <c r="O194" i="1" s="1"/>
  <c r="J193" i="1"/>
  <c r="J261" i="1"/>
  <c r="Q261" i="1"/>
  <c r="K294" i="1"/>
  <c r="J189" i="1"/>
  <c r="Q189" i="1" s="1"/>
  <c r="O106" i="1"/>
  <c r="R106" i="1" s="1"/>
  <c r="R237" i="1"/>
  <c r="O154" i="1"/>
  <c r="R154" i="1" s="1"/>
  <c r="R156" i="1"/>
  <c r="O77" i="1"/>
  <c r="R77" i="1"/>
  <c r="Q77" i="1"/>
  <c r="Q231" i="1"/>
  <c r="R166" i="1"/>
  <c r="O193" i="1"/>
  <c r="Q193" i="1"/>
  <c r="O271" i="1"/>
  <c r="Q271" i="1"/>
  <c r="R76" i="1"/>
  <c r="J225" i="1"/>
  <c r="Q225" i="1" s="1"/>
  <c r="R271" i="1"/>
  <c r="R193" i="1"/>
  <c r="G294" i="1"/>
  <c r="F28" i="1"/>
  <c r="F9" i="1" s="1"/>
  <c r="Q28" i="1"/>
  <c r="M294" i="1" l="1"/>
  <c r="N294" i="1"/>
  <c r="Q218" i="1"/>
  <c r="R83" i="1"/>
  <c r="O235" i="1"/>
  <c r="R235" i="1" s="1"/>
  <c r="R238" i="1"/>
  <c r="Q9" i="1"/>
  <c r="F294" i="1"/>
  <c r="O189" i="1"/>
  <c r="R189" i="1" s="1"/>
  <c r="R194" i="1"/>
  <c r="R204" i="1"/>
  <c r="O202" i="1"/>
  <c r="R202" i="1" s="1"/>
  <c r="O176" i="1"/>
  <c r="R176" i="1" s="1"/>
  <c r="R183" i="1"/>
  <c r="O267" i="1"/>
  <c r="R267" i="1" s="1"/>
  <c r="O261" i="1"/>
  <c r="R261" i="1" s="1"/>
  <c r="H28" i="1"/>
  <c r="R86" i="1"/>
  <c r="Q204" i="1"/>
  <c r="Q194" i="1"/>
  <c r="O244" i="1"/>
  <c r="R244" i="1" s="1"/>
  <c r="J202" i="1"/>
  <c r="Q202" i="1" s="1"/>
  <c r="J235" i="1"/>
  <c r="Q235" i="1" s="1"/>
  <c r="Q238" i="1"/>
  <c r="J83" i="1"/>
  <c r="Q83" i="1" s="1"/>
  <c r="L294" i="1"/>
  <c r="O159" i="1"/>
  <c r="R161" i="1"/>
  <c r="R163" i="1"/>
  <c r="O225" i="1"/>
  <c r="R225" i="1" s="1"/>
  <c r="J47" i="1"/>
  <c r="O201" i="1"/>
  <c r="R201" i="1" s="1"/>
  <c r="Q109" i="1"/>
  <c r="J176" i="1"/>
  <c r="Q176" i="1" s="1"/>
  <c r="Q183" i="1"/>
  <c r="O188" i="1"/>
  <c r="R188" i="1" s="1"/>
  <c r="O169" i="1"/>
  <c r="R169" i="1" s="1"/>
  <c r="Q102" i="1"/>
  <c r="H102" i="1"/>
  <c r="R102" i="1" s="1"/>
  <c r="O228" i="1"/>
  <c r="Q228" i="1"/>
  <c r="O175" i="1"/>
  <c r="R175" i="1" s="1"/>
  <c r="Q175" i="1"/>
  <c r="J159" i="1"/>
  <c r="Q159" i="1" s="1"/>
  <c r="Q289" i="1"/>
  <c r="H44" i="1"/>
  <c r="R44" i="1" s="1"/>
  <c r="Q44" i="1"/>
  <c r="Q151" i="1"/>
  <c r="H151" i="1"/>
  <c r="R151" i="1" s="1"/>
  <c r="R51" i="1"/>
  <c r="R228" i="1"/>
  <c r="R57" i="1"/>
  <c r="R46" i="1"/>
  <c r="Q96" i="1"/>
  <c r="O80" i="1"/>
  <c r="R80" i="1" s="1"/>
  <c r="O82" i="1"/>
  <c r="R82" i="1" s="1"/>
  <c r="H59" i="1"/>
  <c r="R59" i="1" s="1"/>
  <c r="Q52" i="1"/>
  <c r="H164" i="1"/>
  <c r="R164" i="1" s="1"/>
  <c r="H97" i="1"/>
  <c r="R97" i="1" s="1"/>
  <c r="H99" i="1"/>
  <c r="R99" i="1" s="1"/>
  <c r="H22" i="1"/>
  <c r="R22" i="1" s="1"/>
  <c r="H58" i="1"/>
  <c r="R58" i="1" s="1"/>
  <c r="H60" i="1"/>
  <c r="R60" i="1" s="1"/>
  <c r="Q45" i="1"/>
  <c r="H9" i="1" l="1"/>
  <c r="R28" i="1"/>
  <c r="Q47" i="1"/>
  <c r="J294" i="1"/>
  <c r="Q294" i="1" s="1"/>
  <c r="H159" i="1"/>
  <c r="R159" i="1" s="1"/>
  <c r="O47" i="1"/>
  <c r="R47" i="1" l="1"/>
  <c r="O294" i="1"/>
  <c r="H294" i="1"/>
  <c r="R9" i="1"/>
  <c r="R294" i="1" l="1"/>
</calcChain>
</file>

<file path=xl/sharedStrings.xml><?xml version="1.0" encoding="utf-8"?>
<sst xmlns="http://schemas.openxmlformats.org/spreadsheetml/2006/main" count="797" uniqueCount="540">
  <si>
    <t>(грн.)</t>
  </si>
  <si>
    <t>Код програмної класифікації видатків та кредитування місцевих бюджетів</t>
  </si>
  <si>
    <t>Видатки загального фонду</t>
  </si>
  <si>
    <t>Видатки спеціального фонду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</si>
  <si>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</si>
  <si>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</si>
  <si>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</si>
  <si>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</si>
  <si>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Виконавчий комітет Івано-Франківської міської ради</t>
  </si>
  <si>
    <t>Департамент соціальної політики виконавчого комітету міської ради</t>
  </si>
  <si>
    <t>Керівництво і управління у сфері соціального захисту населення</t>
  </si>
  <si>
    <t>Надання субсидій населенню для відшкодування витрат на оплату житлово-комунальних послуг</t>
  </si>
  <si>
    <t>Надання пільг окремим категоріям громадян з послуг зв`язку</t>
  </si>
  <si>
    <t>Компенсацiйнi виплати за пiльговий проїзд окремих категорiй громадян на залізничному транспорті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</si>
  <si>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</si>
  <si>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</si>
  <si>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</si>
  <si>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</si>
  <si>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</si>
  <si>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</si>
  <si>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</si>
  <si>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</si>
  <si>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виконавчого комітету міської ради</t>
  </si>
  <si>
    <t>Охорона та раціональне використання природних ресурсів</t>
  </si>
  <si>
    <t>Управління капітального будівництва виконавчого комітету міської ради</t>
  </si>
  <si>
    <t>Керівництво і управління у сфері капітального будівництва</t>
  </si>
  <si>
    <t>Управління економічного та інтеграційного розвитку</t>
  </si>
  <si>
    <t>Сприяння розвитку малого та середнього підприємництва</t>
  </si>
  <si>
    <t>Фінансове управління виконавчого комітету міської ради</t>
  </si>
  <si>
    <t>Резервний фонд</t>
  </si>
  <si>
    <t>Керівництво і управління у сфері освіти і науки</t>
  </si>
  <si>
    <t>Надання загальної середньої освіти загальноосвітніми навчальними закладами (в т.ч. школою-дитячим садком, iнтернатом  при школi), спецiалiзованими  школами, лiцеями, гімназіями, колегіумами</t>
  </si>
  <si>
    <t>Надання загальної середньої освіти вечірніми (змінними) школами</t>
  </si>
  <si>
    <t>Надання загальної середньої освіти спеціальними загальноосвітніми школами-інтернатами, 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</si>
  <si>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</si>
  <si>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Реалізація заходів щодо інвестиційного розвитку території</t>
  </si>
  <si>
    <t>Багатопрофільна стаціонарна медична допомога населенню</t>
  </si>
  <si>
    <t>Керівництво і управління у справах дітей</t>
  </si>
  <si>
    <t xml:space="preserve">Керівництво і управління у сфері культури </t>
  </si>
  <si>
    <t>Внески до статутного капіталу суб'єктів господарювання</t>
  </si>
  <si>
    <t xml:space="preserve">Керівництво і управління у сфері містобудування та архітектури </t>
  </si>
  <si>
    <t xml:space="preserve">Керівництво і управління у сфері  економічного та інтеграційного розвитку міста </t>
  </si>
  <si>
    <t>№______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</si>
  <si>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</si>
  <si>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 xml:space="preserve">Лікарсько-акушерська допомога вагітним, породіллям та новонародженим  </t>
  </si>
  <si>
    <t>Додаток 3</t>
  </si>
  <si>
    <t>Департамент житлової, комунальної політики та благоустрою</t>
  </si>
  <si>
    <t>Керівництво і управління у сфері житолової, комунальної політики та благоустрою</t>
  </si>
  <si>
    <t>Капітальний ремонт житлового фонду</t>
  </si>
  <si>
    <t>0180</t>
  </si>
  <si>
    <t>Компенсаційні виплати на пільговий проїзд електротранспортом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</si>
  <si>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</si>
  <si>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Реверсна дотація</t>
  </si>
  <si>
    <t>0133</t>
  </si>
  <si>
    <t>0930</t>
  </si>
  <si>
    <r>
      <t>Код ТПКВКМБ /
ТКВКБМС</t>
    </r>
    <r>
      <rPr>
        <b/>
        <vertAlign val="superscript"/>
        <sz val="8"/>
        <rFont val="Times New Roman"/>
        <family val="1"/>
        <charset val="204"/>
      </rPr>
      <t>2</t>
    </r>
  </si>
  <si>
    <r>
      <t>Код ФКВКБ</t>
    </r>
    <r>
      <rPr>
        <b/>
        <strike/>
        <vertAlign val="superscript"/>
        <sz val="8"/>
        <rFont val="Times New Roman"/>
        <family val="1"/>
        <charset val="204"/>
      </rPr>
      <t>3</t>
    </r>
  </si>
  <si>
    <t>у тому числі за рахунок освітньої субвенції з Державного бюджету України</t>
  </si>
  <si>
    <t>0511</t>
  </si>
  <si>
    <t>у тому числі за рахунок медичної субвенції з Державного бюджету України</t>
  </si>
  <si>
    <t>0731</t>
  </si>
  <si>
    <t>0733</t>
  </si>
  <si>
    <t>0721</t>
  </si>
  <si>
    <t>0722</t>
  </si>
  <si>
    <t>0763</t>
  </si>
  <si>
    <t>Департамент комунальних ресурсів міської ради</t>
  </si>
  <si>
    <t>0111</t>
  </si>
  <si>
    <t>Департамент молодіжної політики та спорту</t>
  </si>
  <si>
    <t>Департамент освіти і науки  міської ради</t>
  </si>
  <si>
    <t>Керівництво та управління у сфері молодіжної політики та спорту</t>
  </si>
  <si>
    <t>Керівництво і управління у сфері складання та виконання місцевого бюджету</t>
  </si>
  <si>
    <t>Керівництво і управління у сфері комунальної власності</t>
  </si>
  <si>
    <t>Департамент містобудування, архітектури та кульутрної спадщини  виконавчого комітету міської ради</t>
  </si>
  <si>
    <t>Департамент культури  міської ради</t>
  </si>
  <si>
    <t>1070</t>
  </si>
  <si>
    <t>0610</t>
  </si>
  <si>
    <t>0620</t>
  </si>
  <si>
    <t>0490</t>
  </si>
  <si>
    <t>0411</t>
  </si>
  <si>
    <t>Програма промоції міста Івно-Франківська на 2016-2020 роки</t>
  </si>
  <si>
    <t>Комплексна  програма  сприяння залученню інвестицій в економіку м. Івано-Франківська на  2016 – 2020 роки</t>
  </si>
  <si>
    <t xml:space="preserve">в тому числі </t>
  </si>
  <si>
    <t>- виконання рішень судів, стягнення судових витрат</t>
  </si>
  <si>
    <t>Програма розвитку дитячо-юнацького футболу на 2016-2020 рр</t>
  </si>
  <si>
    <t>0910</t>
  </si>
  <si>
    <t>0921</t>
  </si>
  <si>
    <t>0922</t>
  </si>
  <si>
    <t>0960</t>
  </si>
  <si>
    <t>0950</t>
  </si>
  <si>
    <t>0990</t>
  </si>
  <si>
    <t>1040</t>
  </si>
  <si>
    <t>0810</t>
  </si>
  <si>
    <t xml:space="preserve">Проведення навчально-тренувальних зборiв i змагань з олімпійських видів спорту </t>
  </si>
  <si>
    <t>5011</t>
  </si>
  <si>
    <t>- видатки на виконання судових рішень</t>
  </si>
  <si>
    <t>- примусове виконання рішень суду</t>
  </si>
  <si>
    <t>4060</t>
  </si>
  <si>
    <t>0824</t>
  </si>
  <si>
    <t>0828</t>
  </si>
  <si>
    <t>0829</t>
  </si>
  <si>
    <t>0830</t>
  </si>
  <si>
    <t>1030</t>
  </si>
  <si>
    <t>1060</t>
  </si>
  <si>
    <t>1010</t>
  </si>
  <si>
    <t>1020</t>
  </si>
  <si>
    <t>1090</t>
  </si>
  <si>
    <t>0821</t>
  </si>
  <si>
    <t>Внески до статутного капіталу суб’єктів господарювання</t>
  </si>
  <si>
    <t>6324</t>
  </si>
  <si>
    <t>Будівництво та придбання житла для окремих категорій населення</t>
  </si>
  <si>
    <t>Програма розвитку місцевого самоврядування та громадянського суспільства в м.Івано-Франківську на 2016-2020 роки</t>
  </si>
  <si>
    <t>Компенсаційні виплати на пільговий проїзд автомобільним транспортом окремим категоріям громодян</t>
  </si>
  <si>
    <t>Пільгове медичне обслуговування осіб, які постраждали внаслідок Чорнобильської катастрофи</t>
  </si>
  <si>
    <t xml:space="preserve">Програма легалізації найманої праці та забезпечення кваліфікованими кадрами підприємств м. Івано-Франківська на 2017-2020 р.р.  </t>
  </si>
  <si>
    <t>Програма "Партиципаторне бюджетування (бюджет участі) у м. Івано-Франківську</t>
  </si>
  <si>
    <t>3021</t>
  </si>
  <si>
    <t>Утримання та  навчально-тренувальна робота комунальних дитячо-юнацьких  спортивних шкіл</t>
  </si>
  <si>
    <t>Комплексна програма запобігання виникненню надзвичайних ситуації природного і техногенного характеру та підвищення рівня готовності аварійно-рятувальної служби м.Івано-Франківська   на 2016-2020 роки</t>
  </si>
  <si>
    <t>0320</t>
  </si>
  <si>
    <t>в тому числі:</t>
  </si>
  <si>
    <t>Об'єднання муніципальних мистецьких колективів міста</t>
  </si>
  <si>
    <t xml:space="preserve">Проведення навчально-тренувальних зборiв i змагань з неолімпійських видів спорту </t>
  </si>
  <si>
    <t>5012</t>
  </si>
  <si>
    <t>0160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</si>
  <si>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</si>
  <si>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</si>
  <si>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5021</t>
  </si>
  <si>
    <t>5022</t>
  </si>
  <si>
    <t>5031</t>
  </si>
  <si>
    <t>5061</t>
  </si>
  <si>
    <t>Забезпечення діяльності місцевих центрів фізичного здоров'я населення «Спорт для всіх» та проведення 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</si>
  <si>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</si>
  <si>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</si>
  <si>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4010</t>
  </si>
  <si>
    <t>Фінансова підтримка театрів</t>
  </si>
  <si>
    <t>4030</t>
  </si>
  <si>
    <t>Забезпечення діяльності бiблiотек</t>
  </si>
  <si>
    <t>Забезпечення діяльності палаців і будинків культури, клубів, центрів дозвілля та інші клубних закладів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</si>
  <si>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</si>
  <si>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</si>
  <si>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</si>
  <si>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заклади та заходи в галузі культури і мистецтва</t>
  </si>
  <si>
    <t>8410</t>
  </si>
  <si>
    <t>Фінансова підтримка засобів масової інформації</t>
  </si>
  <si>
    <t>8130</t>
  </si>
  <si>
    <t>Забезпечення діяльності місцевої пожежної охорони</t>
  </si>
  <si>
    <t>7670</t>
  </si>
  <si>
    <t>Надання дошкільної освіти</t>
  </si>
  <si>
    <t>1110</t>
  </si>
  <si>
    <t>Підготовка кадрів професійно-технічними закладами та іншими закладами освіти</t>
  </si>
  <si>
    <t>Підвищення кваліфікації, перепідготовка кадрів закладами післядипломної освіти</t>
  </si>
  <si>
    <t>1150</t>
  </si>
  <si>
    <t xml:space="preserve">Методичне забезпечення діяльності навчальних закладів 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</si>
  <si>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</si>
  <si>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</si>
  <si>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</si>
  <si>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</si>
  <si>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Керівництво та управління у сфері охорони здоров'я</t>
  </si>
  <si>
    <t xml:space="preserve">Управління охорони здоров'я Івано-Франківської міської ради </t>
  </si>
  <si>
    <t>2030</t>
  </si>
  <si>
    <t>2080</t>
  </si>
  <si>
    <t>2100</t>
  </si>
  <si>
    <t>Стоматологічна допомога населенню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</si>
  <si>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</si>
  <si>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</si>
  <si>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</si>
  <si>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</si>
  <si>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8311</t>
  </si>
  <si>
    <t>Реалізація інших заходів щодо соціально-економічного розвитку територій</t>
  </si>
  <si>
    <t>7610</t>
  </si>
  <si>
    <t>8600</t>
  </si>
  <si>
    <t>Обслуговування  місцевого боргу</t>
  </si>
  <si>
    <t>0170</t>
  </si>
  <si>
    <t>8700</t>
  </si>
  <si>
    <t>9770</t>
  </si>
  <si>
    <t xml:space="preserve">Інші субвенції з місцевого бюджету </t>
  </si>
  <si>
    <t>9110</t>
  </si>
  <si>
    <t>Надання інших пільг окремим категоріям громадян відповідно до законодавства</t>
  </si>
  <si>
    <t>3032</t>
  </si>
  <si>
    <t>3121</t>
  </si>
  <si>
    <t>Утримання та забезпечення діяльнлсті центрів  соціальних служб для сім'ї, дітей та молоді</t>
  </si>
  <si>
    <t>0600000</t>
  </si>
  <si>
    <t>0700000</t>
  </si>
  <si>
    <t>0710000</t>
  </si>
  <si>
    <t>0710160</t>
  </si>
  <si>
    <t>0712010</t>
  </si>
  <si>
    <t>0712030</t>
  </si>
  <si>
    <t>0712080</t>
  </si>
  <si>
    <t>0712100</t>
  </si>
  <si>
    <t>0800000</t>
  </si>
  <si>
    <t>0900000</t>
  </si>
  <si>
    <t>1000000</t>
  </si>
  <si>
    <t>3700000</t>
  </si>
  <si>
    <t>3710000</t>
  </si>
  <si>
    <t>3710160</t>
  </si>
  <si>
    <t>3718600</t>
  </si>
  <si>
    <t>1200000</t>
  </si>
  <si>
    <t>1210000</t>
  </si>
  <si>
    <t>1210160</t>
  </si>
  <si>
    <t>1216013</t>
  </si>
  <si>
    <t>1216030</t>
  </si>
  <si>
    <t>1217670</t>
  </si>
  <si>
    <t>0810160</t>
  </si>
  <si>
    <t>0813012</t>
  </si>
  <si>
    <t>0813031</t>
  </si>
  <si>
    <t>0813032</t>
  </si>
  <si>
    <t>0813041</t>
  </si>
  <si>
    <t>0813042</t>
  </si>
  <si>
    <t>0813043</t>
  </si>
  <si>
    <t>0813044</t>
  </si>
  <si>
    <t>0813045</t>
  </si>
  <si>
    <t>0813046</t>
  </si>
  <si>
    <t>0813047</t>
  </si>
  <si>
    <t>0813050</t>
  </si>
  <si>
    <t>0813090</t>
  </si>
  <si>
    <t>0813230</t>
  </si>
  <si>
    <t>3230</t>
  </si>
  <si>
    <t>0813104</t>
  </si>
  <si>
    <t>0813121</t>
  </si>
  <si>
    <t>Надання пільг   на оплату житлово-комунальних  послуг окремим категоріям громадян відповідно до законодавства</t>
  </si>
  <si>
    <t>0813011</t>
  </si>
  <si>
    <t>0813021</t>
  </si>
  <si>
    <t>Надання пільг  на придбання твердого  та рідкого пічного побутового палива і  скрапленого газу окремим категоріям громадян відповідно до законодавства.</t>
  </si>
  <si>
    <t>0813022</t>
  </si>
  <si>
    <t>3022</t>
  </si>
  <si>
    <t>3012</t>
  </si>
  <si>
    <t>0810000</t>
  </si>
  <si>
    <t>0218130</t>
  </si>
  <si>
    <t>0217670</t>
  </si>
  <si>
    <t>0610000</t>
  </si>
  <si>
    <t>0610160</t>
  </si>
  <si>
    <t>0611010</t>
  </si>
  <si>
    <t>0611020</t>
  </si>
  <si>
    <t>0611030</t>
  </si>
  <si>
    <t>0611070</t>
  </si>
  <si>
    <t>0611090</t>
  </si>
  <si>
    <t>0611110</t>
  </si>
  <si>
    <t>0611140</t>
  </si>
  <si>
    <t>0611150</t>
  </si>
  <si>
    <t>0613132</t>
  </si>
  <si>
    <t>0613140</t>
  </si>
  <si>
    <t>0615031</t>
  </si>
  <si>
    <t>0910000</t>
  </si>
  <si>
    <t>0910160</t>
  </si>
  <si>
    <t>1010000</t>
  </si>
  <si>
    <t>1010160</t>
  </si>
  <si>
    <t>1014010</t>
  </si>
  <si>
    <t>1014030</t>
  </si>
  <si>
    <t>1014060</t>
  </si>
  <si>
    <t>1011100</t>
  </si>
  <si>
    <t>1014080</t>
  </si>
  <si>
    <t>1018410</t>
  </si>
  <si>
    <t>1900000</t>
  </si>
  <si>
    <t>1910000</t>
  </si>
  <si>
    <t>1910160</t>
  </si>
  <si>
    <t>1916030</t>
  </si>
  <si>
    <t>1917670</t>
  </si>
  <si>
    <t>0813033</t>
  </si>
  <si>
    <t>3033</t>
  </si>
  <si>
    <t>0813035</t>
  </si>
  <si>
    <t>3035</t>
  </si>
  <si>
    <t>0813036</t>
  </si>
  <si>
    <t>3036</t>
  </si>
  <si>
    <t>0210180</t>
  </si>
  <si>
    <t>Інша діяльність у сфері державного управління</t>
  </si>
  <si>
    <t>0217680</t>
  </si>
  <si>
    <t>7680</t>
  </si>
  <si>
    <t>0218210</t>
  </si>
  <si>
    <t>8210</t>
  </si>
  <si>
    <t>0380</t>
  </si>
  <si>
    <t>видатки на утримання КП "Муніципальна варта"</t>
  </si>
  <si>
    <t>Муніципальні формування з охорони громадського порядку</t>
  </si>
  <si>
    <t>видатки на утримання Громадського формування з охорони громадського порядку "Штаб"</t>
  </si>
  <si>
    <t>0218220</t>
  </si>
  <si>
    <t>8220</t>
  </si>
  <si>
    <t>Цільова програма фінансування мобілізаційних заходів та оборонної роботи Івано-Франківської міської ради на 2018 рік</t>
  </si>
  <si>
    <t>0218110</t>
  </si>
  <si>
    <t>8110</t>
  </si>
  <si>
    <t>8230</t>
  </si>
  <si>
    <t>0218230</t>
  </si>
  <si>
    <t>- відшкодування комунальних послуг за призовну дільницю</t>
  </si>
  <si>
    <t xml:space="preserve">у тому числі: </t>
  </si>
  <si>
    <t>Комплексна цільова соціальна програма розвитку цивільного захисту населення та території міста Івано-Франківська від надзвичайних ситуацій природного і техногенного характеру на 2016-2020 роки</t>
  </si>
  <si>
    <t>Членські внески до асоціацій органів місцевого самоврядування</t>
  </si>
  <si>
    <t>3718700</t>
  </si>
  <si>
    <t>3719110</t>
  </si>
  <si>
    <t>3719770</t>
  </si>
  <si>
    <t>3710180</t>
  </si>
  <si>
    <t>Іншi діяльність у сфері державного управління</t>
  </si>
  <si>
    <t>Інші заходи громадського порядку та безпеки</t>
  </si>
  <si>
    <t>Заходи та роботи з мобілізаційної підготовки місцевого значення</t>
  </si>
  <si>
    <t>- газета "Західний курєр"</t>
  </si>
  <si>
    <t>Порограма розвитку електронного урядування у виконавчому комітеті Івано-Франківської міської ради на 2018-2019 роки</t>
  </si>
  <si>
    <t>7622</t>
  </si>
  <si>
    <t>0470</t>
  </si>
  <si>
    <r>
      <rPr>
        <i/>
        <sz val="9"/>
        <rFont val="Times New Roman"/>
        <family val="1"/>
        <charset val="204"/>
      </rPr>
      <t xml:space="preserve">у тому числі   </t>
    </r>
    <r>
      <rPr>
        <sz val="9"/>
        <rFont val="Times New Roman"/>
        <family val="1"/>
        <charset val="204"/>
      </rPr>
      <t>Програма розвитку туристичної галузі м. Івано-Франківська на 2016-2020рр.</t>
    </r>
  </si>
  <si>
    <t>2717622</t>
  </si>
  <si>
    <t>2710000</t>
  </si>
  <si>
    <t>2710160</t>
  </si>
  <si>
    <t>2717693</t>
  </si>
  <si>
    <t>Заходи з енергозбереження</t>
  </si>
  <si>
    <t>2717640</t>
  </si>
  <si>
    <t>7640</t>
  </si>
  <si>
    <t>Інші заходи, пов'язані з економічною діяльністю</t>
  </si>
  <si>
    <t>у тому числі:</t>
  </si>
  <si>
    <r>
      <rPr>
        <i/>
        <sz val="9"/>
        <rFont val="Times New Roman"/>
        <family val="1"/>
        <charset val="204"/>
      </rPr>
      <t xml:space="preserve">у тому числі   </t>
    </r>
    <r>
      <rPr>
        <sz val="9"/>
        <rFont val="Times New Roman"/>
        <family val="1"/>
        <charset val="204"/>
      </rPr>
      <t>Програма сталого енергетичного розвитку м. Івано-Франківська на період до 2020 р.</t>
    </r>
  </si>
  <si>
    <t>2717610</t>
  </si>
  <si>
    <t>2700000</t>
  </si>
  <si>
    <t>3100000</t>
  </si>
  <si>
    <t>3110000</t>
  </si>
  <si>
    <t>3110160</t>
  </si>
  <si>
    <t>3117130</t>
  </si>
  <si>
    <t>7130</t>
  </si>
  <si>
    <t>0421</t>
  </si>
  <si>
    <t>Здійснення заходів із землеустрою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</si>
  <si>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</si>
  <si>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</si>
  <si>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</si>
  <si>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3110180</t>
  </si>
  <si>
    <t>7350</t>
  </si>
  <si>
    <t>0443</t>
  </si>
  <si>
    <t>Розроблення схем планування та забудови територій (містобудівної документації)</t>
  </si>
  <si>
    <t>1600000</t>
  </si>
  <si>
    <t>1610000</t>
  </si>
  <si>
    <t>1610160</t>
  </si>
  <si>
    <t>1617350</t>
  </si>
  <si>
    <t>с.Вовчинець</t>
  </si>
  <si>
    <t>с.Крихівці</t>
  </si>
  <si>
    <t>с.Микитинці</t>
  </si>
  <si>
    <t>с.Угорники</t>
  </si>
  <si>
    <t>с.Хриплин</t>
  </si>
  <si>
    <t>Організація та проведення громадських робіт</t>
  </si>
  <si>
    <t>1050</t>
  </si>
  <si>
    <t xml:space="preserve"> за рахунок субвенції з обласного бюджету</t>
  </si>
  <si>
    <t>Містечко милосердя Святого Миколая""</t>
  </si>
  <si>
    <t>Центр соціально-психологічної реабілітації "Дивосвіт"</t>
  </si>
  <si>
    <t>Будинок нічного перебування</t>
  </si>
  <si>
    <t>в тому числі :Програми і заходи цнтру  служб для сім'ї, дітей та молоді</t>
  </si>
  <si>
    <t>1500000</t>
  </si>
  <si>
    <t>1510000</t>
  </si>
  <si>
    <t>1510160</t>
  </si>
  <si>
    <t>1518311</t>
  </si>
  <si>
    <t>1910180</t>
  </si>
  <si>
    <t>1210180</t>
  </si>
  <si>
    <t>0210160</t>
  </si>
  <si>
    <t>Комплексна програма профілактики злочинності в місті до 2020 року</t>
  </si>
  <si>
    <t>Управління транспорту та зв'язку</t>
  </si>
  <si>
    <t>1617340</t>
  </si>
  <si>
    <t>7340</t>
  </si>
  <si>
    <t>Проектування, реставрація та охолрона пам'яток архітектури</t>
  </si>
  <si>
    <t>0453</t>
  </si>
  <si>
    <t>1510180</t>
  </si>
  <si>
    <t>1917422</t>
  </si>
  <si>
    <t>7422</t>
  </si>
  <si>
    <t>Регулювання цін на послуги місцевого наземного електротранспорту</t>
  </si>
  <si>
    <t xml:space="preserve">інші видатки </t>
  </si>
  <si>
    <t>1216011</t>
  </si>
  <si>
    <t>6011</t>
  </si>
  <si>
    <t>Експлуатація та технічне обслуговування житлового фонду</t>
  </si>
  <si>
    <t>1217310</t>
  </si>
  <si>
    <t>7310</t>
  </si>
  <si>
    <t>Будівництво1 об'єктів житлово-комунального господарства</t>
  </si>
  <si>
    <t>1511010</t>
  </si>
  <si>
    <t>1511020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</si>
  <si>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</si>
  <si>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1512010</t>
  </si>
  <si>
    <t>2010</t>
  </si>
  <si>
    <t>1512030</t>
  </si>
  <si>
    <t>Лікарсько-акушерська допомога  вагітним, породіллям та новонародженим</t>
  </si>
  <si>
    <t>1512080</t>
  </si>
  <si>
    <t>Забезпечення діяльності палаців i будинків культури, клубів, центрів дозвілля та iнших клубних закладів</t>
  </si>
  <si>
    <t>1516030</t>
  </si>
  <si>
    <t>1517310</t>
  </si>
  <si>
    <t>1517321</t>
  </si>
  <si>
    <t>7321</t>
  </si>
  <si>
    <t>Будівництво1 освітніх установ та закладів</t>
  </si>
  <si>
    <t>1517324</t>
  </si>
  <si>
    <t>7324</t>
  </si>
  <si>
    <t>Будівництво1 установ та закладів культури</t>
  </si>
  <si>
    <t>1517325</t>
  </si>
  <si>
    <t>7325</t>
  </si>
  <si>
    <t>Будівництво1 споруд, установ та закладів фізичної культури і спорту</t>
  </si>
  <si>
    <t>1517330</t>
  </si>
  <si>
    <t>7330</t>
  </si>
  <si>
    <t>Будівництво1 інших об'єктів соціальної та виробничої інфраструктури комунальної власності</t>
  </si>
  <si>
    <t>1517340</t>
  </si>
  <si>
    <t>Проектування, реставрація та охорона пам'яток архітектури</t>
  </si>
  <si>
    <t>1617330</t>
  </si>
  <si>
    <t>1917310</t>
  </si>
  <si>
    <t>8340</t>
  </si>
  <si>
    <t>0540</t>
  </si>
  <si>
    <t>Природоохоронні заходи за рахунок цільових фондів</t>
  </si>
  <si>
    <t>Утримання та фінансова підтримка спортивних споруд</t>
  </si>
  <si>
    <t>5041</t>
  </si>
  <si>
    <t>8010</t>
  </si>
  <si>
    <t>Програма розвитку міжнародного і транскордонного співробітництва м. Івано-Франківська на 2018-2020 роки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</si>
  <si>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</si>
  <si>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Виплата державної соціальної допомогина дітей-сиріт та дітей, позбавлених батьківського піклування , у дитячих будинках сімейного типу та прийомних сімях ,  грошового забезпечення батькам-вихователям і при йомним батькам за надання соціальних послуг у дитячих будинках сімейного типу та прийомних сімях за принципом "гроші ходять за дитиною " та оплату послуг із здійснення патронату над дитиною та виплата соціальної допомоги на утримання дитини в сімї патронатного вихователя.</t>
  </si>
  <si>
    <t>Надання державної соціальної допомоги особам з інвалідністю  з дитинства та дітям з інвалідністю</t>
  </si>
  <si>
    <t>3042</t>
  </si>
  <si>
    <t>3047</t>
  </si>
  <si>
    <t>0813081</t>
  </si>
  <si>
    <t>3081</t>
  </si>
  <si>
    <t>0813083</t>
  </si>
  <si>
    <t>3083</t>
  </si>
  <si>
    <t>0813085</t>
  </si>
  <si>
    <t>3085</t>
  </si>
  <si>
    <t>0813180</t>
  </si>
  <si>
    <t>3180</t>
  </si>
  <si>
    <t>0813192</t>
  </si>
  <si>
    <t>3192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</si>
  <si>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</si>
  <si>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</si>
  <si>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</si>
  <si>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</si>
  <si>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</si>
  <si>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</si>
  <si>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</si>
  <si>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</si>
  <si>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в тому числі :</t>
  </si>
  <si>
    <t xml:space="preserve">інші видатки на соціальний захист населення </t>
  </si>
  <si>
    <t>0813160</t>
  </si>
  <si>
    <t>3160</t>
  </si>
  <si>
    <t>Надання соціальних гарантій фізичним особам , які надають соціальні послуги громадянам похилого віку, особам з інвалідністю , дітям з інвалідністю, хворим , які не здатні до самообслуговування і потребують сторонньої допомоги.</t>
  </si>
  <si>
    <t>Амбулаторно-поліклінічна допомога населенню, крім первинної медичної допомоги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</si>
  <si>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</si>
  <si>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зборiв i змагань та заходiв зі спорту осіб з інвалідністю</t>
  </si>
  <si>
    <t>4081</t>
  </si>
  <si>
    <t>1014081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</si>
  <si>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</si>
  <si>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</si>
  <si>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</si>
  <si>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</si>
  <si>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</si>
  <si>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</si>
  <si>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</si>
  <si>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0617691</t>
  </si>
  <si>
    <t>0717691</t>
  </si>
  <si>
    <t>0817691</t>
  </si>
  <si>
    <t>0917691</t>
  </si>
  <si>
    <t>1217691</t>
  </si>
  <si>
    <t>4817691</t>
  </si>
  <si>
    <t>Керівництво і управління у сфері забезпечення діяльності виконавчих органів міської ради</t>
  </si>
  <si>
    <t>0213210</t>
  </si>
  <si>
    <t>3210</t>
  </si>
  <si>
    <t>Заходи із запобігання та ліквідації надзвичайних ситуацій та наслідків стихійного лиха</t>
  </si>
  <si>
    <t>Керівництво і управління у сфері  транспорту та зв'язку</t>
  </si>
  <si>
    <t>0810180</t>
  </si>
  <si>
    <t>2717370</t>
  </si>
  <si>
    <t>7370</t>
  </si>
  <si>
    <t xml:space="preserve">Реалізація програм і заходів в галузі туризму та курортів </t>
  </si>
  <si>
    <t xml:space="preserve">Надання державної соціальної допомоги особам, які не мають права на пенсію , та особам з інвалідністю , державної соціальної допомоги на догляд. </t>
  </si>
  <si>
    <t xml:space="preserve">Надання допомоги по догляду за особами з інвалідністю І чи ІІ групи внаслідок психічного розладу. </t>
  </si>
  <si>
    <t>Надання щомісячної компенсаційної  виплати непрацюючій працездатній особі , яка доглядає за особою з інвалідністю 1 групи , а також за особою, яка досягла 80- річного віеку.</t>
  </si>
  <si>
    <t>Видатки на поховання учасників бойових дій тата осіб з інвалідністю внаслідок війни.</t>
  </si>
  <si>
    <t>Надання фінансової підтримки громадським організаціям ветеранів і осіб з інвалідністю, діяльність  яких має соціальну спрямованість</t>
  </si>
  <si>
    <t>Інші заклади та заходи:</t>
  </si>
  <si>
    <t>Відшкодування вартості лікарських засобів для лікування окремих захворювань</t>
  </si>
  <si>
    <t>0712146</t>
  </si>
  <si>
    <t xml:space="preserve"> 0763</t>
  </si>
  <si>
    <t>за рахунок субвенції з державного бюджету на відшкодування вартості лікарських засобів для лікування окремих захворювань</t>
  </si>
  <si>
    <t>у тому числі за рахунок медичної субвенції з Державного бюджету України(кошти отримані з обласного бюджету)</t>
  </si>
  <si>
    <t>Субвенція з обласного бюджету по програмі розвитку місцевого самоврядування в Івано-Франківській області на 2016-2020 роки</t>
  </si>
  <si>
    <t>Зміни, що вносяться</t>
  </si>
  <si>
    <t>споживання</t>
  </si>
  <si>
    <t>Уточнений план</t>
  </si>
  <si>
    <t>РАЗОМ  загальний і спеціальний фонди</t>
  </si>
  <si>
    <t>розвитку</t>
  </si>
  <si>
    <t>Субвенція обласному бюджету для редакції газети «Галичина» на створення проекту «Простір культури»</t>
  </si>
  <si>
    <t>Субвенція обласному бюджету для співфінансування проведення міжнародного мистецького фестивалю країн Карпатського регіону «Carpathian Space»</t>
  </si>
  <si>
    <t>0712113</t>
  </si>
  <si>
    <t>2113</t>
  </si>
  <si>
    <t>2146</t>
  </si>
  <si>
    <t xml:space="preserve">Інші програми та заходи у сфері охорони здоров’я </t>
  </si>
  <si>
    <t>0712152</t>
  </si>
  <si>
    <t>2152</t>
  </si>
  <si>
    <t xml:space="preserve">Первинна медична допомога населенню, що надається амбулаторно-поліклінічними закладами (відділеннями)                      </t>
  </si>
  <si>
    <t xml:space="preserve">субвенція з с. Вовчинець </t>
  </si>
  <si>
    <t xml:space="preserve">субвенція з с. Крихівці </t>
  </si>
  <si>
    <t>субвенція з с. Угорники</t>
  </si>
  <si>
    <t>субвенція з с. Хриплин</t>
  </si>
  <si>
    <t xml:space="preserve">субвенція з с. Микитинці </t>
  </si>
  <si>
    <t>Муніципальна програма "Духовне життя"</t>
  </si>
  <si>
    <t>Підпрограма "Доступ громадян до публічної інформації органів місцевого самоврядування м.Івано-Франківська"</t>
  </si>
  <si>
    <t>Субвенція з с. Вовчинець на утримання ГФ "Штаб"</t>
  </si>
  <si>
    <t>Субвенція з с. Микитинці на утримання відділу охорони публічного порядку КП "Муніципальна варта"</t>
  </si>
  <si>
    <t>Субвенція з с. Крихівці на утримання ГФ "Штаб"</t>
  </si>
  <si>
    <t>Муніципальна програма "Духовне життя " на 2018-2020 роки</t>
  </si>
  <si>
    <t>3719800</t>
  </si>
  <si>
    <t>9800</t>
  </si>
  <si>
    <t>у т.ч. на виконання Програми забезпечення виконання рішень суду щодо безспірного списання коштів з розпорядника бюджетних коштів департаменту соціальної політики виконкому міської ради на 2017-2020 роки</t>
  </si>
  <si>
    <t>- видатки на проведення святкувань (Міська цільова програма організації та відзначення в місті Івано-Франківську загальнодержавних, міських свят, державних пам'ятних дат, релігійних та історичних подій на 2018-2020 роки)</t>
  </si>
  <si>
    <t>Субвенція з місцевого бюджету державному бюджету на виконання програм соціально-економічного розвитку регіонів (субвенція з с. Вовчинець по Комплексній програмі профілактики злочинності для прокуратури міста)</t>
  </si>
  <si>
    <t>0611161</t>
  </si>
  <si>
    <t>0611162</t>
  </si>
  <si>
    <t>1161</t>
  </si>
  <si>
    <t>1162</t>
  </si>
  <si>
    <t xml:space="preserve">Забезпечення діяльності інших закладів у сфері освіти </t>
  </si>
  <si>
    <t>Іншi програми та заходи у сфері освіти</t>
  </si>
  <si>
    <t>1518312</t>
  </si>
  <si>
    <t>8312</t>
  </si>
  <si>
    <t>Утилізація відходів</t>
  </si>
  <si>
    <t>0512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</si>
  <si>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</si>
  <si>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</si>
  <si>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</si>
  <si>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</si>
  <si>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0216086</t>
  </si>
  <si>
    <t>6086</t>
  </si>
  <si>
    <t>Інша діяльність щодо забезпечення житлом громадян</t>
  </si>
  <si>
    <t>1517370</t>
  </si>
  <si>
    <t>0618311</t>
  </si>
  <si>
    <t>7693</t>
  </si>
  <si>
    <t>Реалізація інвестиційних проектів</t>
  </si>
  <si>
    <t>1217363</t>
  </si>
  <si>
    <t>7322</t>
  </si>
  <si>
    <t>1517322</t>
  </si>
  <si>
    <t>Будівництво1 медичних установ та закладів</t>
  </si>
  <si>
    <t>2710180</t>
  </si>
  <si>
    <t>Зміни до бюджетних призначень головних розпорядників коштів міського бюджету міста Івано- Франківська на 2018 рік</t>
  </si>
  <si>
    <t xml:space="preserve">                                       до рішення сесії____міської ради</t>
  </si>
  <si>
    <t xml:space="preserve">                        від__________________ </t>
  </si>
  <si>
    <t>О.Савчук</t>
  </si>
  <si>
    <t>Субвенція з місцевого бюджету державному бюджету на виконання програм соціально-економічного розвитку регіонів (для Івано-Франківського міського відділу Міграційної служби України в Івано-Франківській області)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</si>
  <si>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</si>
  <si>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у тому числі </t>
  </si>
  <si>
    <t>3084</t>
  </si>
  <si>
    <t>Надання тимчасовоі державноі соціальноі  допомоги непрацюючій особі , яка досягла загального пенсійного віку , але не набула права на пенсійну виплату</t>
  </si>
  <si>
    <t>1610180</t>
  </si>
  <si>
    <t>субвенція з с. Крихівці</t>
  </si>
  <si>
    <t>0813084</t>
  </si>
  <si>
    <t xml:space="preserve">у тому числі за рахунок субвенції з обласного бюджету </t>
  </si>
  <si>
    <t>в т. числі Муніципальна програма "Духовне життя"</t>
  </si>
  <si>
    <t>1013140</t>
  </si>
  <si>
    <t>1010180</t>
  </si>
  <si>
    <t>1113140</t>
  </si>
  <si>
    <t>КП"Простір Інноваційних Креацій "Палац" (Потоцьких)</t>
  </si>
  <si>
    <t>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</si>
  <si>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т.ч</t>
  </si>
  <si>
    <t>Секретар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</si>
</sst>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0"/>
    <numFmt numFmtId="165" formatCode="General_)"/>
    <numFmt numFmtId="166" formatCode="0.0"/>
    <numFmt numFmtId="167" formatCode="#,##0.0"/>
    <numFmt numFmtId="168" formatCode="0_ ;[Red]\-0\ "/>
  </numFmts>
  <fonts count="22" x14ac:knownFonts="1">
    <font>
      <sz val="8"/>
      <name val="Arial"/>
    </font>
    <font>
      <sz val="8"/>
      <name val="Arial"/>
      <family val="2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trike/>
      <vertAlign val="superscript"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5" fontId="2" fillId="0" borderId="0"/>
    <xf numFmtId="0" fontId="1" fillId="0" borderId="0"/>
    <xf numFmtId="0" fontId="8" fillId="0" borderId="0"/>
  </cellStyleXfs>
  <cellXfs count="145">
    <xf numFmtId="0" fontId="0" fillId="0" borderId="0" xfId="0"/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64" fontId="7" fillId="0" borderId="6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3" fontId="14" fillId="0" borderId="6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49" fontId="9" fillId="0" borderId="8" xfId="0" applyNumberFormat="1" applyFont="1" applyFill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167" fontId="9" fillId="0" borderId="8" xfId="0" applyNumberFormat="1" applyFont="1" applyFill="1" applyBorder="1" applyAlignment="1">
      <alignment horizontal="left" vertical="center" wrapText="1"/>
    </xf>
    <xf numFmtId="3" fontId="18" fillId="0" borderId="7" xfId="0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left" vertical="center" wrapText="1"/>
    </xf>
    <xf numFmtId="49" fontId="16" fillId="0" borderId="8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 horizontal="left"/>
    </xf>
    <xf numFmtId="49" fontId="16" fillId="0" borderId="7" xfId="0" applyNumberFormat="1" applyFont="1" applyFill="1" applyBorder="1" applyAlignment="1">
      <alignment horizontal="left" vertical="center" wrapText="1" shrinkToFit="1"/>
    </xf>
    <xf numFmtId="49" fontId="16" fillId="0" borderId="8" xfId="0" applyNumberFormat="1" applyFont="1" applyFill="1" applyBorder="1" applyAlignment="1">
      <alignment horizontal="left" vertical="center" wrapText="1" shrinkToFit="1"/>
    </xf>
    <xf numFmtId="167" fontId="7" fillId="0" borderId="0" xfId="0" applyNumberFormat="1" applyFont="1" applyFill="1" applyAlignment="1">
      <alignment horizontal="left"/>
    </xf>
    <xf numFmtId="167" fontId="9" fillId="0" borderId="7" xfId="0" applyNumberFormat="1" applyFont="1" applyFill="1" applyBorder="1" applyAlignment="1">
      <alignment horizontal="right" vertical="center"/>
    </xf>
    <xf numFmtId="167" fontId="9" fillId="0" borderId="8" xfId="0" applyNumberFormat="1" applyFont="1" applyFill="1" applyBorder="1" applyAlignment="1">
      <alignment horizontal="right" vertical="center"/>
    </xf>
    <xf numFmtId="167" fontId="9" fillId="0" borderId="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6" xfId="0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" fontId="7" fillId="0" borderId="6" xfId="0" applyNumberFormat="1" applyFont="1" applyFill="1" applyBorder="1" applyAlignment="1">
      <alignment horizontal="left" vertical="center"/>
    </xf>
    <xf numFmtId="1" fontId="9" fillId="0" borderId="6" xfId="0" applyNumberFormat="1" applyFont="1" applyFill="1" applyBorder="1" applyAlignment="1">
      <alignment horizontal="left" vertical="center"/>
    </xf>
    <xf numFmtId="3" fontId="17" fillId="0" borderId="7" xfId="0" applyNumberFormat="1" applyFont="1" applyFill="1" applyBorder="1" applyAlignment="1">
      <alignment horizontal="right" vertical="center"/>
    </xf>
    <xf numFmtId="3" fontId="17" fillId="0" borderId="8" xfId="0" applyNumberFormat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>
      <alignment horizontal="left" vertical="center" wrapText="1" shrinkToFit="1"/>
    </xf>
    <xf numFmtId="49" fontId="9" fillId="0" borderId="8" xfId="0" applyNumberFormat="1" applyFont="1" applyFill="1" applyBorder="1" applyAlignment="1">
      <alignment horizontal="left" vertical="center" wrapText="1" shrinkToFit="1"/>
    </xf>
    <xf numFmtId="49" fontId="9" fillId="0" borderId="6" xfId="0" applyNumberFormat="1" applyFont="1" applyFill="1" applyBorder="1" applyAlignment="1">
      <alignment horizontal="left" vertical="center" wrapText="1" shrinkToFit="1"/>
    </xf>
    <xf numFmtId="49" fontId="9" fillId="0" borderId="7" xfId="0" applyNumberFormat="1" applyFont="1" applyFill="1" applyBorder="1" applyAlignment="1">
      <alignment horizontal="left" vertical="center"/>
    </xf>
    <xf numFmtId="166" fontId="9" fillId="0" borderId="8" xfId="4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left" vertical="top"/>
    </xf>
    <xf numFmtId="1" fontId="11" fillId="0" borderId="0" xfId="0" applyNumberFormat="1" applyFont="1" applyFill="1" applyAlignment="1">
      <alignment horizontal="left" vertical="top"/>
    </xf>
    <xf numFmtId="3" fontId="11" fillId="0" borderId="0" xfId="0" applyNumberFormat="1" applyFont="1" applyFill="1" applyAlignment="1">
      <alignment horizontal="left" vertical="top"/>
    </xf>
    <xf numFmtId="0" fontId="11" fillId="0" borderId="0" xfId="0" applyFont="1" applyFill="1"/>
    <xf numFmtId="3" fontId="11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top"/>
    </xf>
    <xf numFmtId="4" fontId="11" fillId="0" borderId="0" xfId="0" applyNumberFormat="1" applyFont="1" applyFill="1" applyAlignment="1">
      <alignment horizontal="left" vertical="top"/>
    </xf>
    <xf numFmtId="0" fontId="14" fillId="0" borderId="0" xfId="0" applyFont="1" applyFill="1" applyAlignment="1">
      <alignment horizontal="left"/>
    </xf>
    <xf numFmtId="0" fontId="16" fillId="0" borderId="8" xfId="0" applyFont="1" applyFill="1" applyBorder="1" applyAlignment="1">
      <alignment vertical="center" wrapText="1"/>
    </xf>
    <xf numFmtId="165" fontId="9" fillId="0" borderId="8" xfId="2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wrapText="1"/>
    </xf>
    <xf numFmtId="49" fontId="16" fillId="0" borderId="7" xfId="1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vertical="top" wrapText="1"/>
    </xf>
    <xf numFmtId="0" fontId="9" fillId="0" borderId="8" xfId="3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21" fillId="0" borderId="8" xfId="0" applyNumberFormat="1" applyFont="1" applyFill="1" applyBorder="1" applyAlignment="1">
      <alignment horizontal="right" vertical="center"/>
    </xf>
    <xf numFmtId="167" fontId="7" fillId="0" borderId="7" xfId="0" applyNumberFormat="1" applyFont="1" applyFill="1" applyBorder="1" applyAlignment="1">
      <alignment horizontal="right" vertical="center"/>
    </xf>
    <xf numFmtId="167" fontId="7" fillId="0" borderId="8" xfId="0" applyNumberFormat="1" applyFont="1" applyFill="1" applyBorder="1" applyAlignment="1">
      <alignment horizontal="right" vertical="center"/>
    </xf>
    <xf numFmtId="167" fontId="7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167" fontId="3" fillId="0" borderId="7" xfId="0" applyNumberFormat="1" applyFont="1" applyFill="1" applyBorder="1" applyAlignment="1">
      <alignment horizontal="right" vertical="center"/>
    </xf>
    <xf numFmtId="167" fontId="3" fillId="0" borderId="8" xfId="0" applyNumberFormat="1" applyFont="1" applyFill="1" applyBorder="1" applyAlignment="1">
      <alignment horizontal="right" vertical="center"/>
    </xf>
    <xf numFmtId="1" fontId="7" fillId="0" borderId="7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1" fontId="3" fillId="0" borderId="8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3" xfId="1"/>
    <cellStyle name="Обычный_osvita" xfId="2"/>
    <cellStyle name="Обычный_TDSheet" xfId="3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301"/>
  <sheetViews>
    <sheetView tabSelected="1" zoomScale="75" zoomScaleNormal="75" zoomScaleSheetLayoutView="100" workbookViewId="0">
      <pane xSplit="4" ySplit="8" topLeftCell="E284" activePane="bottomRight" state="frozen"/>
      <selection pane="topRight" activeCell="E1" sqref="E1"/>
      <selection pane="bottomLeft" activeCell="A9" sqref="A9"/>
      <selection pane="bottomRight" activeCell="N222" sqref="N222"/>
    </sheetView>
  </sheetViews>
  <sheetFormatPr defaultColWidth="10.1640625" defaultRowHeight="11.45" customHeight="1" x14ac:dyDescent="0.2"/>
  <cols>
    <col min="1" max="1" width="12.5" style="3" customWidth="1"/>
    <col min="2" max="2" width="11.83203125" style="73" customWidth="1"/>
    <col min="3" max="3" width="12.83203125" style="73" customWidth="1"/>
    <col min="4" max="4" width="50.33203125" style="3" customWidth="1"/>
    <col min="5" max="5" width="18.6640625" style="3" customWidth="1"/>
    <col min="6" max="6" width="13.6640625" style="3" customWidth="1"/>
    <col min="7" max="7" width="12.6640625" style="3" customWidth="1"/>
    <col min="8" max="10" width="15.83203125" style="3" customWidth="1"/>
    <col min="11" max="11" width="12" style="3" customWidth="1"/>
    <col min="12" max="12" width="15.5" style="3" customWidth="1"/>
    <col min="13" max="13" width="15.83203125" style="3" customWidth="1"/>
    <col min="14" max="14" width="13.1640625" style="3" customWidth="1"/>
    <col min="15" max="15" width="17.1640625" style="3" customWidth="1"/>
    <col min="16" max="16" width="15.83203125" style="3" customWidth="1"/>
    <col min="17" max="18" width="16.1640625" style="76" customWidth="1"/>
    <col min="19" max="19" width="19.1640625" style="76" customWidth="1"/>
    <col min="20" max="16384" width="10.1640625" style="76"/>
  </cols>
  <sheetData>
    <row r="1" spans="1:18" s="1" customFormat="1" ht="39.6" customHeight="1" x14ac:dyDescent="0.2">
      <c r="B1" s="117" t="s">
        <v>519</v>
      </c>
      <c r="C1" s="117"/>
      <c r="D1" s="117"/>
      <c r="E1" s="117"/>
      <c r="F1" s="117"/>
      <c r="G1" s="117"/>
      <c r="H1" s="117"/>
      <c r="I1" s="117"/>
      <c r="J1" s="117"/>
      <c r="K1" s="117"/>
      <c r="M1" s="118" t="s">
        <v>45</v>
      </c>
      <c r="N1" s="118"/>
      <c r="O1" s="118"/>
      <c r="P1" s="118"/>
    </row>
    <row r="2" spans="1:18" s="1" customFormat="1" ht="18.95" customHeight="1" x14ac:dyDescent="0.2">
      <c r="B2" s="117"/>
      <c r="C2" s="117"/>
      <c r="D2" s="117"/>
      <c r="E2" s="117"/>
      <c r="F2" s="117"/>
      <c r="G2" s="117"/>
      <c r="H2" s="117"/>
      <c r="I2" s="117"/>
      <c r="J2" s="117"/>
      <c r="K2" s="117"/>
      <c r="M2" s="119" t="s">
        <v>520</v>
      </c>
      <c r="N2" s="119"/>
      <c r="O2" s="119"/>
      <c r="P2" s="119"/>
    </row>
    <row r="3" spans="1:18" s="1" customFormat="1" ht="11.1" customHeight="1" x14ac:dyDescent="0.2">
      <c r="B3" s="2"/>
      <c r="C3" s="2"/>
      <c r="M3" s="3" t="s">
        <v>521</v>
      </c>
      <c r="P3" s="3" t="s">
        <v>42</v>
      </c>
    </row>
    <row r="4" spans="1:18" s="1" customFormat="1" ht="11.1" customHeight="1" thickBot="1" x14ac:dyDescent="0.25">
      <c r="B4" s="2"/>
      <c r="C4" s="2"/>
      <c r="P4" s="3" t="s">
        <v>0</v>
      </c>
    </row>
    <row r="5" spans="1:18" s="1" customFormat="1" ht="14.25" customHeight="1" x14ac:dyDescent="0.2">
      <c r="A5" s="121" t="s">
        <v>1</v>
      </c>
      <c r="B5" s="124" t="s">
        <v>55</v>
      </c>
      <c r="C5" s="124" t="s">
        <v>56</v>
      </c>
      <c r="D5" s="127" t="s">
        <v>51</v>
      </c>
      <c r="E5" s="132" t="s">
        <v>2</v>
      </c>
      <c r="F5" s="133"/>
      <c r="G5" s="133"/>
      <c r="H5" s="134"/>
      <c r="I5" s="132" t="s">
        <v>3</v>
      </c>
      <c r="J5" s="133"/>
      <c r="K5" s="133"/>
      <c r="L5" s="133"/>
      <c r="M5" s="133"/>
      <c r="N5" s="133"/>
      <c r="O5" s="134"/>
      <c r="P5" s="132" t="s">
        <v>466</v>
      </c>
      <c r="Q5" s="133"/>
      <c r="R5" s="134"/>
    </row>
    <row r="6" spans="1:18" s="1" customFormat="1" ht="11.1" customHeight="1" x14ac:dyDescent="0.2">
      <c r="A6" s="122"/>
      <c r="B6" s="125"/>
      <c r="C6" s="125"/>
      <c r="D6" s="128"/>
      <c r="E6" s="142" t="s">
        <v>465</v>
      </c>
      <c r="F6" s="144" t="s">
        <v>463</v>
      </c>
      <c r="G6" s="144"/>
      <c r="H6" s="130" t="s">
        <v>465</v>
      </c>
      <c r="I6" s="142" t="s">
        <v>465</v>
      </c>
      <c r="J6" s="120" t="s">
        <v>463</v>
      </c>
      <c r="K6" s="120"/>
      <c r="L6" s="120"/>
      <c r="M6" s="120"/>
      <c r="N6" s="120"/>
      <c r="O6" s="130" t="s">
        <v>465</v>
      </c>
      <c r="P6" s="142"/>
      <c r="Q6" s="120"/>
      <c r="R6" s="130"/>
    </row>
    <row r="7" spans="1:18" s="1" customFormat="1" ht="11.1" customHeight="1" x14ac:dyDescent="0.2">
      <c r="A7" s="122"/>
      <c r="B7" s="125"/>
      <c r="C7" s="125"/>
      <c r="D7" s="128"/>
      <c r="E7" s="142"/>
      <c r="F7" s="120" t="s">
        <v>4</v>
      </c>
      <c r="G7" s="120" t="s">
        <v>464</v>
      </c>
      <c r="H7" s="130"/>
      <c r="I7" s="142"/>
      <c r="J7" s="120" t="s">
        <v>4</v>
      </c>
      <c r="K7" s="120" t="s">
        <v>464</v>
      </c>
      <c r="L7" s="120" t="s">
        <v>467</v>
      </c>
      <c r="M7" s="120" t="s">
        <v>5</v>
      </c>
      <c r="N7" s="120"/>
      <c r="O7" s="130"/>
      <c r="P7" s="142"/>
      <c r="Q7" s="120"/>
      <c r="R7" s="130"/>
    </row>
    <row r="8" spans="1:18" s="1" customFormat="1" ht="133.9" customHeight="1" thickBot="1" x14ac:dyDescent="0.25">
      <c r="A8" s="123"/>
      <c r="B8" s="126"/>
      <c r="C8" s="126"/>
      <c r="D8" s="129"/>
      <c r="E8" s="143"/>
      <c r="F8" s="141"/>
      <c r="G8" s="141"/>
      <c r="H8" s="131"/>
      <c r="I8" s="143"/>
      <c r="J8" s="141"/>
      <c r="K8" s="141"/>
      <c r="L8" s="141"/>
      <c r="M8" s="4" t="s">
        <v>6</v>
      </c>
      <c r="N8" s="4" t="s">
        <v>7</v>
      </c>
      <c r="O8" s="131"/>
      <c r="P8" s="5" t="s">
        <v>465</v>
      </c>
      <c r="Q8" s="4" t="s">
        <v>463</v>
      </c>
      <c r="R8" s="6" t="s">
        <v>465</v>
      </c>
    </row>
    <row r="9" spans="1:18" s="9" customFormat="1" ht="21.95" customHeight="1" x14ac:dyDescent="0.2">
      <c r="A9" s="7">
        <v>200000</v>
      </c>
      <c r="B9" s="8"/>
      <c r="C9" s="8"/>
      <c r="D9" s="91" t="s">
        <v>8</v>
      </c>
      <c r="E9" s="92">
        <f>60977836+49759</f>
        <v>61027595</v>
      </c>
      <c r="F9" s="93">
        <f>F11+F12+F13+F24+F27+F28+F32+F41+F44</f>
        <v>488716</v>
      </c>
      <c r="G9" s="93">
        <f>G11+G12+G13+G24+G27+G28+G32+G41+G44</f>
        <v>488716</v>
      </c>
      <c r="H9" s="94">
        <f>H11+H12+H13+H24+H27+H28+H32+H41+H44</f>
        <v>61516311</v>
      </c>
      <c r="I9" s="92">
        <v>35325550</v>
      </c>
      <c r="J9" s="93">
        <f t="shared" ref="J9:O9" si="0">J11+J12+J13+J24+J26+J27+J28+J32+J41+J25+J44</f>
        <v>-14611932</v>
      </c>
      <c r="K9" s="93">
        <f t="shared" si="0"/>
        <v>0</v>
      </c>
      <c r="L9" s="93">
        <f t="shared" si="0"/>
        <v>-14611932</v>
      </c>
      <c r="M9" s="93">
        <f t="shared" si="0"/>
        <v>-14611932</v>
      </c>
      <c r="N9" s="93">
        <f t="shared" si="0"/>
        <v>-14611932</v>
      </c>
      <c r="O9" s="94">
        <f t="shared" si="0"/>
        <v>20713618</v>
      </c>
      <c r="P9" s="92">
        <f>E9+I9</f>
        <v>96353145</v>
      </c>
      <c r="Q9" s="93">
        <f>F9+J9</f>
        <v>-14123216</v>
      </c>
      <c r="R9" s="94">
        <f>H9+O9</f>
        <v>82229929</v>
      </c>
    </row>
    <row r="10" spans="1:18" s="9" customFormat="1" ht="21.95" customHeight="1" x14ac:dyDescent="0.2">
      <c r="A10" s="10">
        <v>210000</v>
      </c>
      <c r="B10" s="11"/>
      <c r="C10" s="11"/>
      <c r="D10" s="95" t="s">
        <v>8</v>
      </c>
      <c r="E10" s="96"/>
      <c r="F10" s="97"/>
      <c r="G10" s="97"/>
      <c r="H10" s="98"/>
      <c r="I10" s="99"/>
      <c r="J10" s="100"/>
      <c r="K10" s="97"/>
      <c r="L10" s="97"/>
      <c r="M10" s="97"/>
      <c r="N10" s="97"/>
      <c r="O10" s="101"/>
      <c r="P10" s="96"/>
      <c r="Q10" s="14"/>
      <c r="R10" s="15"/>
    </row>
    <row r="11" spans="1:18" s="20" customFormat="1" ht="28.5" customHeight="1" x14ac:dyDescent="0.2">
      <c r="A11" s="16" t="s">
        <v>344</v>
      </c>
      <c r="B11" s="17" t="s">
        <v>123</v>
      </c>
      <c r="C11" s="17" t="s">
        <v>66</v>
      </c>
      <c r="D11" s="23" t="s">
        <v>442</v>
      </c>
      <c r="E11" s="18">
        <v>44672800</v>
      </c>
      <c r="F11" s="13">
        <f>G11</f>
        <v>-282042</v>
      </c>
      <c r="G11" s="13">
        <f>-293625+11583</f>
        <v>-282042</v>
      </c>
      <c r="H11" s="19">
        <f>E11+F11</f>
        <v>44390758</v>
      </c>
      <c r="I11" s="18">
        <v>117550</v>
      </c>
      <c r="J11" s="13">
        <f>K11+L11</f>
        <v>300726</v>
      </c>
      <c r="K11" s="13"/>
      <c r="L11" s="13">
        <f>300726</f>
        <v>300726</v>
      </c>
      <c r="M11" s="13">
        <f>300726</f>
        <v>300726</v>
      </c>
      <c r="N11" s="13">
        <f>300726</f>
        <v>300726</v>
      </c>
      <c r="O11" s="19">
        <f>I11+J11</f>
        <v>418276</v>
      </c>
      <c r="P11" s="18">
        <f>E11+I11</f>
        <v>44790350</v>
      </c>
      <c r="Q11" s="13">
        <f>F11+J11</f>
        <v>18684</v>
      </c>
      <c r="R11" s="19">
        <f>H11+O11</f>
        <v>44809034</v>
      </c>
    </row>
    <row r="12" spans="1:18" s="20" customFormat="1" ht="24" customHeight="1" x14ac:dyDescent="0.2">
      <c r="A12" s="16" t="s">
        <v>227</v>
      </c>
      <c r="B12" s="17" t="s">
        <v>144</v>
      </c>
      <c r="C12" s="17" t="s">
        <v>118</v>
      </c>
      <c r="D12" s="21" t="s">
        <v>145</v>
      </c>
      <c r="E12" s="18">
        <v>2000000</v>
      </c>
      <c r="F12" s="13">
        <f t="shared" ref="F12:F30" si="1">G12</f>
        <v>0</v>
      </c>
      <c r="G12" s="13"/>
      <c r="H12" s="19">
        <f t="shared" ref="H12:H46" si="2">E12+F12</f>
        <v>2000000</v>
      </c>
      <c r="I12" s="22">
        <v>0</v>
      </c>
      <c r="J12" s="13">
        <f>K12+L12</f>
        <v>0</v>
      </c>
      <c r="K12" s="13"/>
      <c r="L12" s="13"/>
      <c r="M12" s="13"/>
      <c r="N12" s="13"/>
      <c r="O12" s="19">
        <f t="shared" ref="O12:O46" si="3">I12+J12</f>
        <v>0</v>
      </c>
      <c r="P12" s="18">
        <f t="shared" ref="P12:P43" si="4">E12+I12</f>
        <v>2000000</v>
      </c>
      <c r="Q12" s="13">
        <f t="shared" ref="Q12:Q46" si="5">F12+J12</f>
        <v>0</v>
      </c>
      <c r="R12" s="19">
        <f t="shared" ref="R12:R46" si="6">H12+O12</f>
        <v>2000000</v>
      </c>
    </row>
    <row r="13" spans="1:18" s="20" customFormat="1" ht="25.5" customHeight="1" x14ac:dyDescent="0.2">
      <c r="A13" s="16" t="s">
        <v>263</v>
      </c>
      <c r="B13" s="17" t="s">
        <v>49</v>
      </c>
      <c r="C13" s="17" t="s">
        <v>53</v>
      </c>
      <c r="D13" s="23" t="s">
        <v>264</v>
      </c>
      <c r="E13" s="18">
        <v>6613800</v>
      </c>
      <c r="F13" s="13">
        <f>G13</f>
        <v>658800</v>
      </c>
      <c r="G13" s="13">
        <f>265800+345000+48000</f>
        <v>658800</v>
      </c>
      <c r="H13" s="19">
        <f>E13+F13</f>
        <v>7272600</v>
      </c>
      <c r="I13" s="18">
        <v>15000000</v>
      </c>
      <c r="J13" s="13">
        <f t="shared" ref="J13:J46" si="7">K13+L13</f>
        <v>-15000000</v>
      </c>
      <c r="K13" s="13"/>
      <c r="L13" s="13">
        <f>-15000000</f>
        <v>-15000000</v>
      </c>
      <c r="M13" s="13">
        <f>-15000000</f>
        <v>-15000000</v>
      </c>
      <c r="N13" s="13">
        <f>-15000000</f>
        <v>-15000000</v>
      </c>
      <c r="O13" s="19">
        <f t="shared" si="3"/>
        <v>0</v>
      </c>
      <c r="P13" s="18">
        <f t="shared" si="4"/>
        <v>21613800</v>
      </c>
      <c r="Q13" s="13">
        <f t="shared" si="5"/>
        <v>-14341200</v>
      </c>
      <c r="R13" s="19">
        <f t="shared" si="6"/>
        <v>7272600</v>
      </c>
    </row>
    <row r="14" spans="1:18" s="20" customFormat="1" ht="13.5" customHeight="1" x14ac:dyDescent="0.2">
      <c r="A14" s="16"/>
      <c r="B14" s="17"/>
      <c r="C14" s="17"/>
      <c r="D14" s="23" t="s">
        <v>281</v>
      </c>
      <c r="E14" s="18"/>
      <c r="F14" s="13">
        <f t="shared" si="1"/>
        <v>0</v>
      </c>
      <c r="G14" s="13"/>
      <c r="H14" s="19"/>
      <c r="I14" s="18">
        <v>0</v>
      </c>
      <c r="J14" s="13">
        <f t="shared" si="7"/>
        <v>0</v>
      </c>
      <c r="K14" s="13"/>
      <c r="L14" s="13"/>
      <c r="M14" s="13"/>
      <c r="N14" s="13"/>
      <c r="O14" s="19">
        <f t="shared" si="3"/>
        <v>0</v>
      </c>
      <c r="P14" s="18"/>
      <c r="Q14" s="13"/>
      <c r="R14" s="19"/>
    </row>
    <row r="15" spans="1:18" s="20" customFormat="1" ht="17.25" customHeight="1" x14ac:dyDescent="0.2">
      <c r="A15" s="16"/>
      <c r="B15" s="17"/>
      <c r="C15" s="17"/>
      <c r="D15" s="21" t="s">
        <v>94</v>
      </c>
      <c r="E15" s="18">
        <v>750000</v>
      </c>
      <c r="F15" s="13">
        <f t="shared" si="1"/>
        <v>0</v>
      </c>
      <c r="G15" s="13"/>
      <c r="H15" s="19">
        <f t="shared" si="2"/>
        <v>750000</v>
      </c>
      <c r="I15" s="18">
        <v>0</v>
      </c>
      <c r="J15" s="13">
        <f t="shared" si="7"/>
        <v>0</v>
      </c>
      <c r="K15" s="13"/>
      <c r="L15" s="13"/>
      <c r="M15" s="13"/>
      <c r="N15" s="13"/>
      <c r="O15" s="19">
        <f t="shared" si="3"/>
        <v>0</v>
      </c>
      <c r="P15" s="18">
        <f t="shared" si="4"/>
        <v>750000</v>
      </c>
      <c r="Q15" s="13">
        <f t="shared" si="5"/>
        <v>0</v>
      </c>
      <c r="R15" s="19">
        <f t="shared" si="6"/>
        <v>750000</v>
      </c>
    </row>
    <row r="16" spans="1:18" s="20" customFormat="1" ht="17.25" customHeight="1" x14ac:dyDescent="0.2">
      <c r="A16" s="16"/>
      <c r="B16" s="17"/>
      <c r="C16" s="17"/>
      <c r="D16" s="21" t="s">
        <v>95</v>
      </c>
      <c r="E16" s="18">
        <v>550000</v>
      </c>
      <c r="F16" s="13">
        <f t="shared" si="1"/>
        <v>0</v>
      </c>
      <c r="G16" s="13"/>
      <c r="H16" s="19">
        <f t="shared" si="2"/>
        <v>550000</v>
      </c>
      <c r="I16" s="18">
        <v>0</v>
      </c>
      <c r="J16" s="13">
        <f t="shared" si="7"/>
        <v>0</v>
      </c>
      <c r="K16" s="13"/>
      <c r="L16" s="13"/>
      <c r="M16" s="13"/>
      <c r="N16" s="13"/>
      <c r="O16" s="19">
        <f t="shared" si="3"/>
        <v>0</v>
      </c>
      <c r="P16" s="18">
        <f t="shared" si="4"/>
        <v>550000</v>
      </c>
      <c r="Q16" s="13">
        <f t="shared" si="5"/>
        <v>0</v>
      </c>
      <c r="R16" s="19">
        <f t="shared" si="6"/>
        <v>550000</v>
      </c>
    </row>
    <row r="17" spans="1:18" s="20" customFormat="1" ht="26.25" customHeight="1" x14ac:dyDescent="0.2">
      <c r="A17" s="16"/>
      <c r="B17" s="17"/>
      <c r="C17" s="17"/>
      <c r="D17" s="21" t="s">
        <v>280</v>
      </c>
      <c r="E17" s="18">
        <v>350000</v>
      </c>
      <c r="F17" s="13">
        <f t="shared" si="1"/>
        <v>0</v>
      </c>
      <c r="G17" s="13"/>
      <c r="H17" s="19">
        <f t="shared" si="2"/>
        <v>350000</v>
      </c>
      <c r="I17" s="18">
        <v>0</v>
      </c>
      <c r="J17" s="13">
        <f t="shared" si="7"/>
        <v>0</v>
      </c>
      <c r="K17" s="13"/>
      <c r="L17" s="13"/>
      <c r="M17" s="13"/>
      <c r="N17" s="13"/>
      <c r="O17" s="19">
        <f t="shared" si="3"/>
        <v>0</v>
      </c>
      <c r="P17" s="18">
        <f t="shared" si="4"/>
        <v>350000</v>
      </c>
      <c r="Q17" s="13">
        <f t="shared" si="5"/>
        <v>0</v>
      </c>
      <c r="R17" s="19">
        <f t="shared" si="6"/>
        <v>350000</v>
      </c>
    </row>
    <row r="18" spans="1:18" s="20" customFormat="1" ht="66.75" customHeight="1" x14ac:dyDescent="0.2">
      <c r="A18" s="16"/>
      <c r="B18" s="17"/>
      <c r="C18" s="17"/>
      <c r="D18" s="21" t="s">
        <v>491</v>
      </c>
      <c r="E18" s="18">
        <v>1000000</v>
      </c>
      <c r="F18" s="13">
        <f t="shared" si="1"/>
        <v>0</v>
      </c>
      <c r="G18" s="13"/>
      <c r="H18" s="19">
        <f t="shared" si="2"/>
        <v>1000000</v>
      </c>
      <c r="I18" s="18">
        <v>0</v>
      </c>
      <c r="J18" s="13">
        <f t="shared" si="7"/>
        <v>0</v>
      </c>
      <c r="K18" s="13"/>
      <c r="L18" s="13"/>
      <c r="M18" s="13"/>
      <c r="N18" s="13"/>
      <c r="O18" s="19">
        <f t="shared" si="3"/>
        <v>0</v>
      </c>
      <c r="P18" s="18">
        <f t="shared" si="4"/>
        <v>1000000</v>
      </c>
      <c r="Q18" s="13">
        <f t="shared" si="5"/>
        <v>0</v>
      </c>
      <c r="R18" s="19">
        <f t="shared" si="6"/>
        <v>1000000</v>
      </c>
    </row>
    <row r="19" spans="1:18" s="20" customFormat="1" ht="18" customHeight="1" x14ac:dyDescent="0.2">
      <c r="A19" s="16"/>
      <c r="B19" s="17"/>
      <c r="C19" s="17"/>
      <c r="D19" s="21" t="s">
        <v>291</v>
      </c>
      <c r="E19" s="18">
        <v>2400000</v>
      </c>
      <c r="F19" s="13">
        <f t="shared" si="1"/>
        <v>0</v>
      </c>
      <c r="G19" s="13"/>
      <c r="H19" s="19">
        <f t="shared" si="2"/>
        <v>2400000</v>
      </c>
      <c r="I19" s="18">
        <v>0</v>
      </c>
      <c r="J19" s="13">
        <f t="shared" si="7"/>
        <v>0</v>
      </c>
      <c r="K19" s="13"/>
      <c r="L19" s="13"/>
      <c r="M19" s="13"/>
      <c r="N19" s="13"/>
      <c r="O19" s="19">
        <f t="shared" si="3"/>
        <v>0</v>
      </c>
      <c r="P19" s="18">
        <f t="shared" si="4"/>
        <v>2400000</v>
      </c>
      <c r="Q19" s="13">
        <f t="shared" si="5"/>
        <v>0</v>
      </c>
      <c r="R19" s="19">
        <f t="shared" si="6"/>
        <v>2400000</v>
      </c>
    </row>
    <row r="20" spans="1:18" s="20" customFormat="1" ht="18" customHeight="1" x14ac:dyDescent="0.2">
      <c r="A20" s="16"/>
      <c r="B20" s="17"/>
      <c r="C20" s="17"/>
      <c r="D20" s="21" t="s">
        <v>355</v>
      </c>
      <c r="E20" s="18">
        <v>0</v>
      </c>
      <c r="F20" s="13">
        <f t="shared" si="1"/>
        <v>48000</v>
      </c>
      <c r="G20" s="13">
        <v>48000</v>
      </c>
      <c r="H20" s="19">
        <f t="shared" si="2"/>
        <v>48000</v>
      </c>
      <c r="I20" s="18">
        <v>15000000</v>
      </c>
      <c r="J20" s="13">
        <f t="shared" si="7"/>
        <v>-15000000</v>
      </c>
      <c r="K20" s="13"/>
      <c r="L20" s="13">
        <f>-15000000</f>
        <v>-15000000</v>
      </c>
      <c r="M20" s="13">
        <f>-15000000</f>
        <v>-15000000</v>
      </c>
      <c r="N20" s="13">
        <f>-15000000</f>
        <v>-15000000</v>
      </c>
      <c r="O20" s="19">
        <f t="shared" si="3"/>
        <v>0</v>
      </c>
      <c r="P20" s="18">
        <f t="shared" si="4"/>
        <v>15000000</v>
      </c>
      <c r="Q20" s="13">
        <f t="shared" si="5"/>
        <v>-14952000</v>
      </c>
      <c r="R20" s="19">
        <f t="shared" si="6"/>
        <v>48000</v>
      </c>
    </row>
    <row r="21" spans="1:18" s="20" customFormat="1" ht="42.75" customHeight="1" x14ac:dyDescent="0.2">
      <c r="A21" s="16"/>
      <c r="B21" s="17"/>
      <c r="C21" s="17"/>
      <c r="D21" s="21" t="s">
        <v>292</v>
      </c>
      <c r="E21" s="18">
        <v>1000000</v>
      </c>
      <c r="F21" s="13">
        <f>G21</f>
        <v>0</v>
      </c>
      <c r="G21" s="13"/>
      <c r="H21" s="19">
        <f>E21+F21</f>
        <v>1000000</v>
      </c>
      <c r="I21" s="18">
        <v>0</v>
      </c>
      <c r="J21" s="13">
        <f t="shared" si="7"/>
        <v>0</v>
      </c>
      <c r="K21" s="13"/>
      <c r="L21" s="13"/>
      <c r="M21" s="13"/>
      <c r="N21" s="13"/>
      <c r="O21" s="19">
        <f t="shared" si="3"/>
        <v>0</v>
      </c>
      <c r="P21" s="18">
        <f t="shared" si="4"/>
        <v>1000000</v>
      </c>
      <c r="Q21" s="13">
        <f t="shared" si="5"/>
        <v>0</v>
      </c>
      <c r="R21" s="19">
        <f t="shared" si="6"/>
        <v>1000000</v>
      </c>
    </row>
    <row r="22" spans="1:18" s="20" customFormat="1" ht="20.25" customHeight="1" x14ac:dyDescent="0.2">
      <c r="A22" s="16"/>
      <c r="B22" s="17"/>
      <c r="C22" s="17"/>
      <c r="D22" s="21" t="s">
        <v>482</v>
      </c>
      <c r="E22" s="18">
        <v>190000</v>
      </c>
      <c r="F22" s="13">
        <f>G22</f>
        <v>345000</v>
      </c>
      <c r="G22" s="13">
        <f>195000+100000+50000</f>
        <v>345000</v>
      </c>
      <c r="H22" s="19">
        <f>E22+F22</f>
        <v>535000</v>
      </c>
      <c r="I22" s="18"/>
      <c r="J22" s="13"/>
      <c r="K22" s="13"/>
      <c r="L22" s="13"/>
      <c r="M22" s="13"/>
      <c r="N22" s="13"/>
      <c r="O22" s="19"/>
      <c r="P22" s="18"/>
      <c r="Q22" s="13">
        <f t="shared" si="5"/>
        <v>345000</v>
      </c>
      <c r="R22" s="19">
        <f t="shared" si="6"/>
        <v>535000</v>
      </c>
    </row>
    <row r="23" spans="1:18" s="20" customFormat="1" ht="38.25" customHeight="1" x14ac:dyDescent="0.2">
      <c r="A23" s="16"/>
      <c r="B23" s="17"/>
      <c r="C23" s="17"/>
      <c r="D23" s="21" t="s">
        <v>483</v>
      </c>
      <c r="E23" s="18">
        <v>373800</v>
      </c>
      <c r="F23" s="13">
        <f>G23</f>
        <v>265800</v>
      </c>
      <c r="G23" s="13">
        <v>265800</v>
      </c>
      <c r="H23" s="19">
        <f>E23+F23</f>
        <v>639600</v>
      </c>
      <c r="I23" s="18"/>
      <c r="J23" s="13"/>
      <c r="K23" s="13"/>
      <c r="L23" s="13"/>
      <c r="M23" s="13"/>
      <c r="N23" s="13"/>
      <c r="O23" s="19"/>
      <c r="P23" s="18"/>
      <c r="Q23" s="13">
        <f t="shared" si="5"/>
        <v>265800</v>
      </c>
      <c r="R23" s="19">
        <f t="shared" si="6"/>
        <v>639600</v>
      </c>
    </row>
    <row r="24" spans="1:18" s="20" customFormat="1" ht="22.5" customHeight="1" x14ac:dyDescent="0.2">
      <c r="A24" s="16" t="s">
        <v>443</v>
      </c>
      <c r="B24" s="17" t="s">
        <v>444</v>
      </c>
      <c r="C24" s="17" t="s">
        <v>332</v>
      </c>
      <c r="D24" s="23" t="s">
        <v>331</v>
      </c>
      <c r="E24" s="18">
        <v>500000</v>
      </c>
      <c r="F24" s="13">
        <f>G24</f>
        <v>0</v>
      </c>
      <c r="G24" s="13"/>
      <c r="H24" s="19">
        <f t="shared" si="2"/>
        <v>500000</v>
      </c>
      <c r="I24" s="18">
        <v>0</v>
      </c>
      <c r="J24" s="13">
        <f t="shared" si="7"/>
        <v>0</v>
      </c>
      <c r="K24" s="13"/>
      <c r="L24" s="13"/>
      <c r="M24" s="13"/>
      <c r="N24" s="13"/>
      <c r="O24" s="19">
        <f t="shared" si="3"/>
        <v>0</v>
      </c>
      <c r="P24" s="18">
        <f t="shared" si="4"/>
        <v>500000</v>
      </c>
      <c r="Q24" s="13">
        <f t="shared" si="5"/>
        <v>0</v>
      </c>
      <c r="R24" s="19">
        <f t="shared" si="6"/>
        <v>500000</v>
      </c>
    </row>
    <row r="25" spans="1:18" s="20" customFormat="1" ht="30.6" customHeight="1" x14ac:dyDescent="0.2">
      <c r="A25" s="24" t="s">
        <v>507</v>
      </c>
      <c r="B25" s="17" t="s">
        <v>508</v>
      </c>
      <c r="C25" s="17" t="s">
        <v>75</v>
      </c>
      <c r="D25" s="21" t="s">
        <v>509</v>
      </c>
      <c r="E25" s="18">
        <v>0</v>
      </c>
      <c r="F25" s="13">
        <f>G25</f>
        <v>0</v>
      </c>
      <c r="G25" s="13"/>
      <c r="H25" s="19">
        <f>E25+F25</f>
        <v>0</v>
      </c>
      <c r="I25" s="18">
        <v>15000000</v>
      </c>
      <c r="J25" s="13">
        <f>K25+L25</f>
        <v>0</v>
      </c>
      <c r="K25" s="13"/>
      <c r="L25" s="13"/>
      <c r="M25" s="13"/>
      <c r="N25" s="13"/>
      <c r="O25" s="19">
        <f>I25+J25</f>
        <v>15000000</v>
      </c>
      <c r="P25" s="18">
        <f>E25+I25</f>
        <v>15000000</v>
      </c>
      <c r="Q25" s="13">
        <f>F25+J25</f>
        <v>0</v>
      </c>
      <c r="R25" s="19">
        <f>H25+O25</f>
        <v>15000000</v>
      </c>
    </row>
    <row r="26" spans="1:18" s="20" customFormat="1" ht="22.5" customHeight="1" x14ac:dyDescent="0.2">
      <c r="A26" s="24" t="s">
        <v>228</v>
      </c>
      <c r="B26" s="17" t="s">
        <v>146</v>
      </c>
      <c r="C26" s="17" t="s">
        <v>77</v>
      </c>
      <c r="D26" s="25" t="s">
        <v>107</v>
      </c>
      <c r="E26" s="18">
        <v>0</v>
      </c>
      <c r="F26" s="13">
        <f t="shared" si="1"/>
        <v>0</v>
      </c>
      <c r="G26" s="13"/>
      <c r="H26" s="19">
        <f t="shared" si="2"/>
        <v>0</v>
      </c>
      <c r="I26" s="18">
        <v>5208000</v>
      </c>
      <c r="J26" s="13">
        <f t="shared" si="7"/>
        <v>0</v>
      </c>
      <c r="K26" s="13"/>
      <c r="L26" s="13"/>
      <c r="M26" s="13"/>
      <c r="N26" s="13"/>
      <c r="O26" s="19">
        <f t="shared" si="3"/>
        <v>5208000</v>
      </c>
      <c r="P26" s="18">
        <f t="shared" si="4"/>
        <v>5208000</v>
      </c>
      <c r="Q26" s="13">
        <f t="shared" si="5"/>
        <v>0</v>
      </c>
      <c r="R26" s="19">
        <f t="shared" si="6"/>
        <v>5208000</v>
      </c>
    </row>
    <row r="27" spans="1:18" s="20" customFormat="1" ht="30.75" customHeight="1" x14ac:dyDescent="0.2">
      <c r="A27" s="16" t="s">
        <v>265</v>
      </c>
      <c r="B27" s="17" t="s">
        <v>266</v>
      </c>
      <c r="C27" s="17" t="s">
        <v>77</v>
      </c>
      <c r="D27" s="21" t="s">
        <v>283</v>
      </c>
      <c r="E27" s="18">
        <v>300000</v>
      </c>
      <c r="F27" s="13">
        <f t="shared" si="1"/>
        <v>52300</v>
      </c>
      <c r="G27" s="13">
        <v>52300</v>
      </c>
      <c r="H27" s="19">
        <f t="shared" si="2"/>
        <v>352300</v>
      </c>
      <c r="I27" s="18">
        <v>0</v>
      </c>
      <c r="J27" s="13">
        <f t="shared" si="7"/>
        <v>0</v>
      </c>
      <c r="K27" s="13"/>
      <c r="L27" s="13"/>
      <c r="M27" s="13"/>
      <c r="N27" s="13"/>
      <c r="O27" s="19">
        <f t="shared" si="3"/>
        <v>0</v>
      </c>
      <c r="P27" s="18">
        <f t="shared" si="4"/>
        <v>300000</v>
      </c>
      <c r="Q27" s="13">
        <f t="shared" si="5"/>
        <v>52300</v>
      </c>
      <c r="R27" s="19">
        <f t="shared" si="6"/>
        <v>352300</v>
      </c>
    </row>
    <row r="28" spans="1:18" s="20" customFormat="1" ht="30.75" customHeight="1" x14ac:dyDescent="0.2">
      <c r="A28" s="16" t="s">
        <v>276</v>
      </c>
      <c r="B28" s="17" t="s">
        <v>277</v>
      </c>
      <c r="C28" s="17" t="s">
        <v>118</v>
      </c>
      <c r="D28" s="21" t="s">
        <v>445</v>
      </c>
      <c r="E28" s="18">
        <f>382246+49759</f>
        <v>432005</v>
      </c>
      <c r="F28" s="13">
        <f t="shared" si="1"/>
        <v>0</v>
      </c>
      <c r="G28" s="13"/>
      <c r="H28" s="19">
        <f t="shared" si="2"/>
        <v>432005</v>
      </c>
      <c r="I28" s="18">
        <v>0</v>
      </c>
      <c r="J28" s="13">
        <f t="shared" si="7"/>
        <v>0</v>
      </c>
      <c r="K28" s="13"/>
      <c r="L28" s="13"/>
      <c r="M28" s="13"/>
      <c r="N28" s="13"/>
      <c r="O28" s="19">
        <f t="shared" si="3"/>
        <v>0</v>
      </c>
      <c r="P28" s="18">
        <f t="shared" si="4"/>
        <v>432005</v>
      </c>
      <c r="Q28" s="13">
        <f t="shared" si="5"/>
        <v>0</v>
      </c>
      <c r="R28" s="19">
        <f t="shared" si="6"/>
        <v>432005</v>
      </c>
    </row>
    <row r="29" spans="1:18" s="20" customFormat="1" ht="13.5" customHeight="1" x14ac:dyDescent="0.2">
      <c r="A29" s="16"/>
      <c r="B29" s="17"/>
      <c r="C29" s="17"/>
      <c r="D29" s="23" t="s">
        <v>281</v>
      </c>
      <c r="E29" s="18"/>
      <c r="F29" s="13"/>
      <c r="G29" s="13"/>
      <c r="H29" s="19"/>
      <c r="I29" s="18">
        <v>0</v>
      </c>
      <c r="J29" s="13">
        <f t="shared" si="7"/>
        <v>0</v>
      </c>
      <c r="K29" s="13"/>
      <c r="L29" s="13"/>
      <c r="M29" s="13"/>
      <c r="N29" s="13"/>
      <c r="O29" s="19">
        <f t="shared" si="3"/>
        <v>0</v>
      </c>
      <c r="P29" s="18"/>
      <c r="Q29" s="13"/>
      <c r="R29" s="19"/>
    </row>
    <row r="30" spans="1:18" s="20" customFormat="1" ht="66.95" customHeight="1" x14ac:dyDescent="0.2">
      <c r="A30" s="16"/>
      <c r="B30" s="17"/>
      <c r="C30" s="17"/>
      <c r="D30" s="21" t="s">
        <v>282</v>
      </c>
      <c r="E30" s="18">
        <v>50000</v>
      </c>
      <c r="F30" s="13">
        <f t="shared" si="1"/>
        <v>0</v>
      </c>
      <c r="G30" s="13"/>
      <c r="H30" s="19">
        <f t="shared" si="2"/>
        <v>50000</v>
      </c>
      <c r="I30" s="18">
        <v>0</v>
      </c>
      <c r="J30" s="13">
        <f t="shared" si="7"/>
        <v>0</v>
      </c>
      <c r="K30" s="13"/>
      <c r="L30" s="13"/>
      <c r="M30" s="13"/>
      <c r="N30" s="13"/>
      <c r="O30" s="19">
        <f t="shared" si="3"/>
        <v>0</v>
      </c>
      <c r="P30" s="18">
        <f t="shared" si="4"/>
        <v>50000</v>
      </c>
      <c r="Q30" s="13">
        <f t="shared" si="5"/>
        <v>0</v>
      </c>
      <c r="R30" s="19">
        <f t="shared" si="6"/>
        <v>50000</v>
      </c>
    </row>
    <row r="31" spans="1:18" s="20" customFormat="1" ht="75.75" customHeight="1" x14ac:dyDescent="0.2">
      <c r="A31" s="16"/>
      <c r="B31" s="17"/>
      <c r="C31" s="17"/>
      <c r="D31" s="21" t="s">
        <v>117</v>
      </c>
      <c r="E31" s="18">
        <v>332246</v>
      </c>
      <c r="F31" s="13">
        <f>G31</f>
        <v>0</v>
      </c>
      <c r="G31" s="26"/>
      <c r="H31" s="19">
        <f t="shared" si="2"/>
        <v>332246</v>
      </c>
      <c r="I31" s="18">
        <v>0</v>
      </c>
      <c r="J31" s="13">
        <f t="shared" si="7"/>
        <v>0</v>
      </c>
      <c r="K31" s="13"/>
      <c r="L31" s="13"/>
      <c r="M31" s="13"/>
      <c r="N31" s="13"/>
      <c r="O31" s="19">
        <f t="shared" si="3"/>
        <v>0</v>
      </c>
      <c r="P31" s="18">
        <f>E31+I31</f>
        <v>332246</v>
      </c>
      <c r="Q31" s="13">
        <f t="shared" si="5"/>
        <v>0</v>
      </c>
      <c r="R31" s="19">
        <f t="shared" si="6"/>
        <v>332246</v>
      </c>
    </row>
    <row r="32" spans="1:18" s="20" customFormat="1" ht="30.75" customHeight="1" x14ac:dyDescent="0.2">
      <c r="A32" s="16" t="s">
        <v>267</v>
      </c>
      <c r="B32" s="17" t="s">
        <v>268</v>
      </c>
      <c r="C32" s="17" t="s">
        <v>269</v>
      </c>
      <c r="D32" s="21" t="s">
        <v>271</v>
      </c>
      <c r="E32" s="18">
        <v>5508990</v>
      </c>
      <c r="F32" s="13">
        <f t="shared" ref="F32:F46" si="8">G32</f>
        <v>0</v>
      </c>
      <c r="G32" s="13"/>
      <c r="H32" s="19">
        <f t="shared" si="2"/>
        <v>5508990</v>
      </c>
      <c r="I32" s="22">
        <v>0</v>
      </c>
      <c r="J32" s="13">
        <f t="shared" si="7"/>
        <v>0</v>
      </c>
      <c r="K32" s="13"/>
      <c r="L32" s="13"/>
      <c r="M32" s="13"/>
      <c r="N32" s="13"/>
      <c r="O32" s="19">
        <f t="shared" si="3"/>
        <v>0</v>
      </c>
      <c r="P32" s="18">
        <f t="shared" si="4"/>
        <v>5508990</v>
      </c>
      <c r="Q32" s="13">
        <f t="shared" si="5"/>
        <v>0</v>
      </c>
      <c r="R32" s="19">
        <f t="shared" si="6"/>
        <v>5508990</v>
      </c>
    </row>
    <row r="33" spans="1:18" s="20" customFormat="1" ht="12.75" customHeight="1" x14ac:dyDescent="0.2">
      <c r="A33" s="16"/>
      <c r="B33" s="17"/>
      <c r="C33" s="17"/>
      <c r="D33" s="23" t="s">
        <v>281</v>
      </c>
      <c r="E33" s="18"/>
      <c r="F33" s="13"/>
      <c r="G33" s="13"/>
      <c r="H33" s="19"/>
      <c r="I33" s="22">
        <v>0</v>
      </c>
      <c r="J33" s="13">
        <f t="shared" si="7"/>
        <v>0</v>
      </c>
      <c r="K33" s="13"/>
      <c r="L33" s="13"/>
      <c r="M33" s="13"/>
      <c r="N33" s="13"/>
      <c r="O33" s="19">
        <f t="shared" si="3"/>
        <v>0</v>
      </c>
      <c r="P33" s="18"/>
      <c r="Q33" s="13"/>
      <c r="R33" s="19"/>
    </row>
    <row r="34" spans="1:18" s="20" customFormat="1" ht="27" customHeight="1" x14ac:dyDescent="0.2">
      <c r="A34" s="16"/>
      <c r="B34" s="17"/>
      <c r="C34" s="17"/>
      <c r="D34" s="21" t="s">
        <v>270</v>
      </c>
      <c r="E34" s="18">
        <v>5130400</v>
      </c>
      <c r="F34" s="13">
        <f t="shared" si="8"/>
        <v>0</v>
      </c>
      <c r="G34" s="13">
        <f>G36</f>
        <v>0</v>
      </c>
      <c r="H34" s="19">
        <f>E34+F34</f>
        <v>5130400</v>
      </c>
      <c r="I34" s="22">
        <v>0</v>
      </c>
      <c r="J34" s="13">
        <f t="shared" si="7"/>
        <v>0</v>
      </c>
      <c r="K34" s="13"/>
      <c r="L34" s="13"/>
      <c r="M34" s="13"/>
      <c r="N34" s="13"/>
      <c r="O34" s="19">
        <f t="shared" si="3"/>
        <v>0</v>
      </c>
      <c r="P34" s="18">
        <f t="shared" si="4"/>
        <v>5130400</v>
      </c>
      <c r="Q34" s="13">
        <f>F34+J34</f>
        <v>0</v>
      </c>
      <c r="R34" s="19">
        <f t="shared" si="6"/>
        <v>5130400</v>
      </c>
    </row>
    <row r="35" spans="1:18" s="20" customFormat="1" ht="15.75" customHeight="1" x14ac:dyDescent="0.2">
      <c r="A35" s="16"/>
      <c r="B35" s="17"/>
      <c r="C35" s="17"/>
      <c r="D35" s="27" t="s">
        <v>281</v>
      </c>
      <c r="E35" s="18"/>
      <c r="F35" s="13"/>
      <c r="G35" s="13"/>
      <c r="H35" s="19"/>
      <c r="I35" s="22"/>
      <c r="J35" s="13"/>
      <c r="K35" s="13"/>
      <c r="L35" s="13"/>
      <c r="M35" s="13"/>
      <c r="N35" s="13"/>
      <c r="O35" s="19"/>
      <c r="P35" s="18"/>
      <c r="Q35" s="13"/>
      <c r="R35" s="19"/>
    </row>
    <row r="36" spans="1:18" s="20" customFormat="1" ht="30" customHeight="1" x14ac:dyDescent="0.2">
      <c r="A36" s="16"/>
      <c r="B36" s="17"/>
      <c r="C36" s="17"/>
      <c r="D36" s="28" t="s">
        <v>485</v>
      </c>
      <c r="E36" s="18">
        <v>130400</v>
      </c>
      <c r="F36" s="13">
        <f t="shared" si="8"/>
        <v>0</v>
      </c>
      <c r="G36" s="13"/>
      <c r="H36" s="19">
        <f t="shared" si="2"/>
        <v>130400</v>
      </c>
      <c r="I36" s="22"/>
      <c r="J36" s="13"/>
      <c r="K36" s="13"/>
      <c r="L36" s="13"/>
      <c r="M36" s="13"/>
      <c r="N36" s="13"/>
      <c r="O36" s="19"/>
      <c r="P36" s="18"/>
      <c r="Q36" s="13">
        <f>F36+J36</f>
        <v>0</v>
      </c>
      <c r="R36" s="19">
        <f>H36+O36</f>
        <v>130400</v>
      </c>
    </row>
    <row r="37" spans="1:18" s="20" customFormat="1" ht="36.75" customHeight="1" x14ac:dyDescent="0.2">
      <c r="A37" s="16"/>
      <c r="B37" s="17"/>
      <c r="C37" s="17"/>
      <c r="D37" s="21" t="s">
        <v>272</v>
      </c>
      <c r="E37" s="18">
        <v>378590</v>
      </c>
      <c r="F37" s="13">
        <f t="shared" si="8"/>
        <v>0</v>
      </c>
      <c r="G37" s="13"/>
      <c r="H37" s="19">
        <f>E37+F37</f>
        <v>378590</v>
      </c>
      <c r="I37" s="22">
        <v>0</v>
      </c>
      <c r="J37" s="13">
        <f t="shared" si="7"/>
        <v>0</v>
      </c>
      <c r="K37" s="13"/>
      <c r="L37" s="13"/>
      <c r="M37" s="13"/>
      <c r="N37" s="13"/>
      <c r="O37" s="19">
        <f t="shared" si="3"/>
        <v>0</v>
      </c>
      <c r="P37" s="18">
        <f t="shared" si="4"/>
        <v>378590</v>
      </c>
      <c r="Q37" s="13">
        <f>F37+J37</f>
        <v>0</v>
      </c>
      <c r="R37" s="19">
        <f>H37+O37</f>
        <v>378590</v>
      </c>
    </row>
    <row r="38" spans="1:18" s="20" customFormat="1" ht="15" customHeight="1" x14ac:dyDescent="0.2">
      <c r="A38" s="16"/>
      <c r="B38" s="17"/>
      <c r="C38" s="17"/>
      <c r="D38" s="27" t="s">
        <v>281</v>
      </c>
      <c r="E38" s="18"/>
      <c r="F38" s="13"/>
      <c r="G38" s="13"/>
      <c r="H38" s="19"/>
      <c r="I38" s="22"/>
      <c r="J38" s="13"/>
      <c r="K38" s="13"/>
      <c r="L38" s="13"/>
      <c r="M38" s="13"/>
      <c r="N38" s="13"/>
      <c r="O38" s="19"/>
      <c r="P38" s="18"/>
      <c r="Q38" s="13"/>
      <c r="R38" s="19"/>
    </row>
    <row r="39" spans="1:18" s="20" customFormat="1" ht="23.25" customHeight="1" x14ac:dyDescent="0.2">
      <c r="A39" s="16"/>
      <c r="B39" s="17"/>
      <c r="C39" s="17"/>
      <c r="D39" s="28" t="s">
        <v>484</v>
      </c>
      <c r="E39" s="18">
        <v>80000</v>
      </c>
      <c r="F39" s="13">
        <f t="shared" si="8"/>
        <v>0</v>
      </c>
      <c r="G39" s="13"/>
      <c r="H39" s="19">
        <f t="shared" si="2"/>
        <v>80000</v>
      </c>
      <c r="I39" s="22"/>
      <c r="J39" s="13"/>
      <c r="K39" s="13"/>
      <c r="L39" s="13"/>
      <c r="M39" s="13"/>
      <c r="N39" s="13"/>
      <c r="O39" s="19"/>
      <c r="P39" s="18"/>
      <c r="Q39" s="13">
        <f t="shared" si="5"/>
        <v>0</v>
      </c>
      <c r="R39" s="19">
        <f t="shared" si="6"/>
        <v>80000</v>
      </c>
    </row>
    <row r="40" spans="1:18" s="20" customFormat="1" ht="23.25" customHeight="1" x14ac:dyDescent="0.2">
      <c r="A40" s="16"/>
      <c r="B40" s="17"/>
      <c r="C40" s="17"/>
      <c r="D40" s="28" t="s">
        <v>486</v>
      </c>
      <c r="E40" s="18">
        <v>128590</v>
      </c>
      <c r="F40" s="13">
        <f t="shared" si="8"/>
        <v>0</v>
      </c>
      <c r="G40" s="13"/>
      <c r="H40" s="19">
        <f t="shared" si="2"/>
        <v>128590</v>
      </c>
      <c r="I40" s="22"/>
      <c r="J40" s="13"/>
      <c r="K40" s="13"/>
      <c r="L40" s="13"/>
      <c r="M40" s="13"/>
      <c r="N40" s="13"/>
      <c r="O40" s="19"/>
      <c r="P40" s="18"/>
      <c r="Q40" s="13">
        <f t="shared" si="5"/>
        <v>0</v>
      </c>
      <c r="R40" s="19">
        <f t="shared" si="6"/>
        <v>128590</v>
      </c>
    </row>
    <row r="41" spans="1:18" s="20" customFormat="1" ht="30.75" customHeight="1" x14ac:dyDescent="0.2">
      <c r="A41" s="16" t="s">
        <v>273</v>
      </c>
      <c r="B41" s="17" t="s">
        <v>274</v>
      </c>
      <c r="C41" s="17" t="s">
        <v>269</v>
      </c>
      <c r="D41" s="21" t="s">
        <v>290</v>
      </c>
      <c r="E41" s="18">
        <v>1000000</v>
      </c>
      <c r="F41" s="13">
        <f t="shared" si="8"/>
        <v>10648</v>
      </c>
      <c r="G41" s="13">
        <v>10648</v>
      </c>
      <c r="H41" s="19">
        <f t="shared" si="2"/>
        <v>1010648</v>
      </c>
      <c r="I41" s="22">
        <v>0</v>
      </c>
      <c r="J41" s="13">
        <f t="shared" si="7"/>
        <v>38352</v>
      </c>
      <c r="K41" s="13"/>
      <c r="L41" s="13">
        <f>38352</f>
        <v>38352</v>
      </c>
      <c r="M41" s="13">
        <f>38352</f>
        <v>38352</v>
      </c>
      <c r="N41" s="13">
        <f>38352</f>
        <v>38352</v>
      </c>
      <c r="O41" s="19">
        <f t="shared" si="3"/>
        <v>38352</v>
      </c>
      <c r="P41" s="18">
        <f t="shared" si="4"/>
        <v>1000000</v>
      </c>
      <c r="Q41" s="13">
        <f t="shared" si="5"/>
        <v>49000</v>
      </c>
      <c r="R41" s="19">
        <f t="shared" si="6"/>
        <v>1049000</v>
      </c>
    </row>
    <row r="42" spans="1:18" s="20" customFormat="1" ht="14.25" customHeight="1" x14ac:dyDescent="0.2">
      <c r="A42" s="16"/>
      <c r="B42" s="17"/>
      <c r="C42" s="17"/>
      <c r="D42" s="23" t="s">
        <v>281</v>
      </c>
      <c r="E42" s="18"/>
      <c r="F42" s="13"/>
      <c r="G42" s="13"/>
      <c r="H42" s="19"/>
      <c r="I42" s="22">
        <v>0</v>
      </c>
      <c r="J42" s="13">
        <f t="shared" si="7"/>
        <v>0</v>
      </c>
      <c r="K42" s="13"/>
      <c r="L42" s="13"/>
      <c r="M42" s="13"/>
      <c r="N42" s="13"/>
      <c r="O42" s="19">
        <f t="shared" si="3"/>
        <v>0</v>
      </c>
      <c r="P42" s="18"/>
      <c r="Q42" s="13"/>
      <c r="R42" s="19"/>
    </row>
    <row r="43" spans="1:18" s="20" customFormat="1" ht="41.25" customHeight="1" x14ac:dyDescent="0.2">
      <c r="A43" s="16"/>
      <c r="B43" s="17"/>
      <c r="C43" s="17"/>
      <c r="D43" s="21" t="s">
        <v>275</v>
      </c>
      <c r="E43" s="18">
        <v>1000000</v>
      </c>
      <c r="F43" s="13">
        <f t="shared" si="8"/>
        <v>10648</v>
      </c>
      <c r="G43" s="13">
        <v>10648</v>
      </c>
      <c r="H43" s="19">
        <f t="shared" si="2"/>
        <v>1010648</v>
      </c>
      <c r="I43" s="22">
        <v>0</v>
      </c>
      <c r="J43" s="13">
        <f t="shared" si="7"/>
        <v>38352</v>
      </c>
      <c r="K43" s="13"/>
      <c r="L43" s="13">
        <f>38352</f>
        <v>38352</v>
      </c>
      <c r="M43" s="13">
        <f>38352</f>
        <v>38352</v>
      </c>
      <c r="N43" s="13">
        <f>38352</f>
        <v>38352</v>
      </c>
      <c r="O43" s="19">
        <f t="shared" si="3"/>
        <v>38352</v>
      </c>
      <c r="P43" s="18">
        <f t="shared" si="4"/>
        <v>1000000</v>
      </c>
      <c r="Q43" s="13">
        <f t="shared" si="5"/>
        <v>49000</v>
      </c>
      <c r="R43" s="19">
        <f t="shared" si="6"/>
        <v>1049000</v>
      </c>
    </row>
    <row r="44" spans="1:18" s="20" customFormat="1" ht="22.5" customHeight="1" x14ac:dyDescent="0.2">
      <c r="A44" s="16" t="s">
        <v>279</v>
      </c>
      <c r="B44" s="17" t="s">
        <v>278</v>
      </c>
      <c r="C44" s="17" t="s">
        <v>269</v>
      </c>
      <c r="D44" s="21" t="s">
        <v>289</v>
      </c>
      <c r="E44" s="18"/>
      <c r="F44" s="13">
        <f t="shared" si="8"/>
        <v>49010</v>
      </c>
      <c r="G44" s="13">
        <f>49000+49000-48990</f>
        <v>49010</v>
      </c>
      <c r="H44" s="19">
        <f t="shared" si="2"/>
        <v>49010</v>
      </c>
      <c r="I44" s="22"/>
      <c r="J44" s="13">
        <f t="shared" si="7"/>
        <v>48990</v>
      </c>
      <c r="K44" s="13"/>
      <c r="L44" s="13">
        <f>48990</f>
        <v>48990</v>
      </c>
      <c r="M44" s="13">
        <f>48990</f>
        <v>48990</v>
      </c>
      <c r="N44" s="13">
        <f>48990</f>
        <v>48990</v>
      </c>
      <c r="O44" s="19">
        <f t="shared" si="3"/>
        <v>48990</v>
      </c>
      <c r="P44" s="12">
        <f>E44+J44</f>
        <v>48990</v>
      </c>
      <c r="Q44" s="13">
        <f t="shared" si="5"/>
        <v>98000</v>
      </c>
      <c r="R44" s="19">
        <f t="shared" si="6"/>
        <v>98000</v>
      </c>
    </row>
    <row r="45" spans="1:18" s="20" customFormat="1" ht="13.5" customHeight="1" x14ac:dyDescent="0.2">
      <c r="A45" s="16"/>
      <c r="B45" s="17"/>
      <c r="C45" s="17"/>
      <c r="D45" s="23" t="s">
        <v>281</v>
      </c>
      <c r="E45" s="18"/>
      <c r="F45" s="13"/>
      <c r="G45" s="13"/>
      <c r="H45" s="19"/>
      <c r="I45" s="22"/>
      <c r="J45" s="13">
        <f t="shared" si="7"/>
        <v>0</v>
      </c>
      <c r="K45" s="13"/>
      <c r="L45" s="13"/>
      <c r="M45" s="13"/>
      <c r="N45" s="13"/>
      <c r="O45" s="19">
        <f t="shared" si="3"/>
        <v>0</v>
      </c>
      <c r="P45" s="12">
        <f>E45+J45</f>
        <v>0</v>
      </c>
      <c r="Q45" s="13">
        <f t="shared" si="5"/>
        <v>0</v>
      </c>
      <c r="R45" s="19">
        <f t="shared" si="6"/>
        <v>0</v>
      </c>
    </row>
    <row r="46" spans="1:18" s="20" customFormat="1" ht="31.5" customHeight="1" x14ac:dyDescent="0.2">
      <c r="A46" s="16"/>
      <c r="B46" s="17"/>
      <c r="C46" s="17"/>
      <c r="D46" s="21" t="s">
        <v>345</v>
      </c>
      <c r="E46" s="18"/>
      <c r="F46" s="13">
        <f t="shared" si="8"/>
        <v>49010</v>
      </c>
      <c r="G46" s="13">
        <f>49000+49000-48990</f>
        <v>49010</v>
      </c>
      <c r="H46" s="19">
        <f t="shared" si="2"/>
        <v>49010</v>
      </c>
      <c r="I46" s="22"/>
      <c r="J46" s="13">
        <f t="shared" si="7"/>
        <v>48990</v>
      </c>
      <c r="K46" s="13"/>
      <c r="L46" s="13">
        <f>48990</f>
        <v>48990</v>
      </c>
      <c r="M46" s="13">
        <f>48990</f>
        <v>48990</v>
      </c>
      <c r="N46" s="13">
        <f>48990</f>
        <v>48990</v>
      </c>
      <c r="O46" s="19">
        <f t="shared" si="3"/>
        <v>48990</v>
      </c>
      <c r="P46" s="12">
        <f>E46+J46</f>
        <v>48990</v>
      </c>
      <c r="Q46" s="13">
        <f t="shared" si="5"/>
        <v>98000</v>
      </c>
      <c r="R46" s="19">
        <f t="shared" si="6"/>
        <v>98000</v>
      </c>
    </row>
    <row r="47" spans="1:18" s="9" customFormat="1" ht="22.5" customHeight="1" x14ac:dyDescent="0.2">
      <c r="A47" s="29" t="s">
        <v>181</v>
      </c>
      <c r="B47" s="11"/>
      <c r="C47" s="11"/>
      <c r="D47" s="30" t="s">
        <v>68</v>
      </c>
      <c r="E47" s="96">
        <v>701653615</v>
      </c>
      <c r="F47" s="97">
        <f>F49+F50+F54+F62+F64+F66+F67+F70+F71+F72+F73+F74+F75+F76+F77+F78+F81</f>
        <v>482955</v>
      </c>
      <c r="G47" s="97">
        <f>G49+G50+G54+G62+G64+G66+G67+G70+G71+G72+G73+G74+G75+G76+G77+G78+G81</f>
        <v>482955</v>
      </c>
      <c r="H47" s="101">
        <f>H49+H50+H54+H62+H64+H66+H67+H70+H71+H72+H73+H74+H75+H76+H77+H78+H81</f>
        <v>702136570</v>
      </c>
      <c r="I47" s="96">
        <v>56786077</v>
      </c>
      <c r="J47" s="97">
        <f t="shared" ref="J47:O47" si="9">J49+J50+J54+J62+J64+J66+J67+J70+J71+J72+J73+J74+J75+J76+J77+J78+J81+J80+J82</f>
        <v>2231611</v>
      </c>
      <c r="K47" s="97">
        <f t="shared" si="9"/>
        <v>-49000</v>
      </c>
      <c r="L47" s="97">
        <f t="shared" si="9"/>
        <v>2280611</v>
      </c>
      <c r="M47" s="97">
        <f t="shared" si="9"/>
        <v>2280611</v>
      </c>
      <c r="N47" s="97">
        <f t="shared" si="9"/>
        <v>1635611</v>
      </c>
      <c r="O47" s="101">
        <f t="shared" si="9"/>
        <v>59017688</v>
      </c>
      <c r="P47" s="96">
        <f>E47+I47</f>
        <v>758439692</v>
      </c>
      <c r="Q47" s="97">
        <f>F47+J47</f>
        <v>2714566</v>
      </c>
      <c r="R47" s="101">
        <f>H47+O47</f>
        <v>761154258</v>
      </c>
    </row>
    <row r="48" spans="1:18" s="9" customFormat="1" ht="21.75" customHeight="1" x14ac:dyDescent="0.2">
      <c r="A48" s="29" t="s">
        <v>229</v>
      </c>
      <c r="B48" s="11"/>
      <c r="C48" s="11"/>
      <c r="D48" s="30" t="s">
        <v>68</v>
      </c>
      <c r="E48" s="96"/>
      <c r="F48" s="97"/>
      <c r="G48" s="97"/>
      <c r="H48" s="98"/>
      <c r="I48" s="99"/>
      <c r="J48" s="100"/>
      <c r="K48" s="97"/>
      <c r="L48" s="97"/>
      <c r="M48" s="97"/>
      <c r="N48" s="97"/>
      <c r="O48" s="101"/>
      <c r="P48" s="96"/>
      <c r="Q48" s="100"/>
      <c r="R48" s="102"/>
    </row>
    <row r="49" spans="1:19" s="20" customFormat="1" ht="12" x14ac:dyDescent="0.2">
      <c r="A49" s="16" t="s">
        <v>230</v>
      </c>
      <c r="B49" s="17" t="s">
        <v>123</v>
      </c>
      <c r="C49" s="17" t="s">
        <v>66</v>
      </c>
      <c r="D49" s="23" t="s">
        <v>30</v>
      </c>
      <c r="E49" s="18">
        <v>3091000</v>
      </c>
      <c r="F49" s="13">
        <f>G49</f>
        <v>0</v>
      </c>
      <c r="G49" s="13"/>
      <c r="H49" s="19">
        <f>E49+F49</f>
        <v>3091000</v>
      </c>
      <c r="I49" s="18">
        <v>0</v>
      </c>
      <c r="J49" s="13">
        <f>K49+L49</f>
        <v>0</v>
      </c>
      <c r="K49" s="13"/>
      <c r="L49" s="13"/>
      <c r="M49" s="13"/>
      <c r="N49" s="13"/>
      <c r="O49" s="19">
        <f>I49+J49</f>
        <v>0</v>
      </c>
      <c r="P49" s="18">
        <f>E49+I49</f>
        <v>3091000</v>
      </c>
      <c r="Q49" s="13">
        <f t="shared" ref="Q49:Q82" si="10">F49+J49</f>
        <v>0</v>
      </c>
      <c r="R49" s="19">
        <f t="shared" ref="R49:R82" si="11">H49+O49</f>
        <v>3091000</v>
      </c>
      <c r="S49" s="31"/>
    </row>
    <row r="50" spans="1:19" s="20" customFormat="1" ht="15" customHeight="1" x14ac:dyDescent="0.2">
      <c r="A50" s="16" t="s">
        <v>231</v>
      </c>
      <c r="B50" s="17">
        <v>1010</v>
      </c>
      <c r="C50" s="17" t="s">
        <v>84</v>
      </c>
      <c r="D50" s="23" t="s">
        <v>147</v>
      </c>
      <c r="E50" s="18">
        <v>127748912</v>
      </c>
      <c r="F50" s="13">
        <f t="shared" ref="F50:F79" si="12">G50</f>
        <v>611291</v>
      </c>
      <c r="G50" s="13">
        <f>450000+153500+4892-35000+37899</f>
        <v>611291</v>
      </c>
      <c r="H50" s="19">
        <f t="shared" ref="H50:H79" si="13">E50+F50</f>
        <v>128360203</v>
      </c>
      <c r="I50" s="18">
        <v>15924580</v>
      </c>
      <c r="J50" s="13">
        <f>K50+L50</f>
        <v>3325000</v>
      </c>
      <c r="K50" s="13"/>
      <c r="L50" s="13">
        <f>3325000</f>
        <v>3325000</v>
      </c>
      <c r="M50" s="13">
        <f>3325000</f>
        <v>3325000</v>
      </c>
      <c r="N50" s="13">
        <f>3325000</f>
        <v>3325000</v>
      </c>
      <c r="O50" s="19">
        <f t="shared" ref="O50:O82" si="14">I50+J50</f>
        <v>19249580</v>
      </c>
      <c r="P50" s="18">
        <f>E50+I50</f>
        <v>143673492</v>
      </c>
      <c r="Q50" s="13">
        <f t="shared" si="10"/>
        <v>3936291</v>
      </c>
      <c r="R50" s="19">
        <f t="shared" si="11"/>
        <v>147609783</v>
      </c>
      <c r="S50" s="32"/>
    </row>
    <row r="51" spans="1:19" s="20" customFormat="1" ht="15" customHeight="1" x14ac:dyDescent="0.2">
      <c r="A51" s="16"/>
      <c r="B51" s="17"/>
      <c r="C51" s="17"/>
      <c r="D51" s="28" t="s">
        <v>481</v>
      </c>
      <c r="E51" s="18">
        <v>200000</v>
      </c>
      <c r="F51" s="13">
        <f t="shared" si="12"/>
        <v>450000</v>
      </c>
      <c r="G51" s="13">
        <v>450000</v>
      </c>
      <c r="H51" s="19">
        <f t="shared" si="13"/>
        <v>650000</v>
      </c>
      <c r="I51" s="18">
        <v>100000</v>
      </c>
      <c r="J51" s="13">
        <f>K51+L51</f>
        <v>0</v>
      </c>
      <c r="K51" s="13"/>
      <c r="L51" s="13"/>
      <c r="M51" s="13"/>
      <c r="N51" s="13"/>
      <c r="O51" s="19">
        <f t="shared" si="14"/>
        <v>100000</v>
      </c>
      <c r="P51" s="18">
        <f>E51+I51</f>
        <v>300000</v>
      </c>
      <c r="Q51" s="13">
        <f t="shared" si="10"/>
        <v>450000</v>
      </c>
      <c r="R51" s="19">
        <f t="shared" si="11"/>
        <v>750000</v>
      </c>
      <c r="S51" s="32"/>
    </row>
    <row r="52" spans="1:19" s="20" customFormat="1" ht="15" customHeight="1" x14ac:dyDescent="0.2">
      <c r="A52" s="16"/>
      <c r="B52" s="17"/>
      <c r="C52" s="17"/>
      <c r="D52" s="28" t="s">
        <v>479</v>
      </c>
      <c r="E52" s="18"/>
      <c r="F52" s="13">
        <f t="shared" si="12"/>
        <v>153500</v>
      </c>
      <c r="G52" s="13">
        <v>153500</v>
      </c>
      <c r="H52" s="19">
        <f t="shared" si="13"/>
        <v>153500</v>
      </c>
      <c r="I52" s="18">
        <v>34500</v>
      </c>
      <c r="J52" s="13">
        <f>K52+L52</f>
        <v>0</v>
      </c>
      <c r="K52" s="13"/>
      <c r="L52" s="13"/>
      <c r="M52" s="13"/>
      <c r="N52" s="13"/>
      <c r="O52" s="19">
        <f t="shared" si="14"/>
        <v>34500</v>
      </c>
      <c r="P52" s="18">
        <f>E52+I52</f>
        <v>34500</v>
      </c>
      <c r="Q52" s="13">
        <f t="shared" si="10"/>
        <v>153500</v>
      </c>
      <c r="R52" s="19">
        <f t="shared" si="11"/>
        <v>188000</v>
      </c>
      <c r="S52" s="32"/>
    </row>
    <row r="53" spans="1:19" s="20" customFormat="1" ht="15" customHeight="1" x14ac:dyDescent="0.2">
      <c r="A53" s="16"/>
      <c r="B53" s="17"/>
      <c r="C53" s="17"/>
      <c r="D53" s="28" t="s">
        <v>529</v>
      </c>
      <c r="E53" s="18"/>
      <c r="F53" s="13">
        <f t="shared" si="12"/>
        <v>4892</v>
      </c>
      <c r="G53" s="13">
        <v>4892</v>
      </c>
      <c r="H53" s="19">
        <f t="shared" si="13"/>
        <v>4892</v>
      </c>
      <c r="I53" s="18"/>
      <c r="J53" s="13"/>
      <c r="K53" s="13"/>
      <c r="L53" s="13"/>
      <c r="M53" s="13"/>
      <c r="N53" s="13"/>
      <c r="O53" s="19"/>
      <c r="P53" s="18"/>
      <c r="Q53" s="13"/>
      <c r="R53" s="19"/>
      <c r="S53" s="32"/>
    </row>
    <row r="54" spans="1:19" s="20" customFormat="1" ht="52.9" customHeight="1" x14ac:dyDescent="0.2">
      <c r="A54" s="16" t="s">
        <v>232</v>
      </c>
      <c r="B54" s="17">
        <v>1020</v>
      </c>
      <c r="C54" s="17" t="s">
        <v>85</v>
      </c>
      <c r="D54" s="23" t="s">
        <v>31</v>
      </c>
      <c r="E54" s="18">
        <v>385476681</v>
      </c>
      <c r="F54" s="13">
        <f t="shared" si="12"/>
        <v>495104</v>
      </c>
      <c r="G54" s="13">
        <f>-125000+439324+180780</f>
        <v>495104</v>
      </c>
      <c r="H54" s="19">
        <f>E54+F54</f>
        <v>385971785</v>
      </c>
      <c r="I54" s="18">
        <v>24475547</v>
      </c>
      <c r="J54" s="13">
        <f>K54+L54</f>
        <v>-4639389</v>
      </c>
      <c r="K54" s="13"/>
      <c r="L54" s="13">
        <f>-6796589+650000+1507200</f>
        <v>-4639389</v>
      </c>
      <c r="M54" s="13">
        <f>-6796589+650000+1507200</f>
        <v>-4639389</v>
      </c>
      <c r="N54" s="13">
        <f>-6796589+1507200</f>
        <v>-5289389</v>
      </c>
      <c r="O54" s="19">
        <f t="shared" si="14"/>
        <v>19836158</v>
      </c>
      <c r="P54" s="18">
        <f t="shared" ref="P54:P80" si="15">E54+I54</f>
        <v>409952228</v>
      </c>
      <c r="Q54" s="13">
        <f>F54+J54</f>
        <v>-4144285</v>
      </c>
      <c r="R54" s="19">
        <f>H54+O54</f>
        <v>405807943</v>
      </c>
      <c r="S54" s="33"/>
    </row>
    <row r="55" spans="1:19" s="20" customFormat="1" ht="35.450000000000003" customHeight="1" x14ac:dyDescent="0.2">
      <c r="A55" s="16"/>
      <c r="B55" s="17"/>
      <c r="C55" s="17"/>
      <c r="D55" s="81" t="s">
        <v>57</v>
      </c>
      <c r="E55" s="18">
        <v>253875000</v>
      </c>
      <c r="F55" s="13">
        <f t="shared" si="12"/>
        <v>0</v>
      </c>
      <c r="G55" s="13"/>
      <c r="H55" s="19">
        <f t="shared" si="13"/>
        <v>253875000</v>
      </c>
      <c r="I55" s="18">
        <v>0</v>
      </c>
      <c r="J55" s="13">
        <f t="shared" ref="J55:J63" si="16">K55+L55</f>
        <v>0</v>
      </c>
      <c r="K55" s="13"/>
      <c r="L55" s="13"/>
      <c r="M55" s="13"/>
      <c r="N55" s="13"/>
      <c r="O55" s="19">
        <f t="shared" si="14"/>
        <v>0</v>
      </c>
      <c r="P55" s="18">
        <f t="shared" si="15"/>
        <v>253875000</v>
      </c>
      <c r="Q55" s="13">
        <f t="shared" si="10"/>
        <v>0</v>
      </c>
      <c r="R55" s="19">
        <f t="shared" si="11"/>
        <v>253875000</v>
      </c>
    </row>
    <row r="56" spans="1:19" s="20" customFormat="1" ht="55.9" customHeight="1" x14ac:dyDescent="0.2">
      <c r="A56" s="16"/>
      <c r="B56" s="17"/>
      <c r="C56" s="17"/>
      <c r="D56" s="81" t="s">
        <v>537</v>
      </c>
      <c r="E56" s="18"/>
      <c r="F56" s="13">
        <f t="shared" si="12"/>
        <v>439324</v>
      </c>
      <c r="G56" s="13">
        <v>439324</v>
      </c>
      <c r="H56" s="19">
        <f t="shared" si="13"/>
        <v>439324</v>
      </c>
      <c r="I56" s="18"/>
      <c r="J56" s="13"/>
      <c r="K56" s="13"/>
      <c r="L56" s="13"/>
      <c r="M56" s="13"/>
      <c r="N56" s="13"/>
      <c r="O56" s="19"/>
      <c r="P56" s="18">
        <f t="shared" si="15"/>
        <v>0</v>
      </c>
      <c r="Q56" s="13">
        <f t="shared" si="10"/>
        <v>439324</v>
      </c>
      <c r="R56" s="19">
        <f t="shared" si="11"/>
        <v>439324</v>
      </c>
    </row>
    <row r="57" spans="1:19" s="20" customFormat="1" ht="15" customHeight="1" x14ac:dyDescent="0.2">
      <c r="A57" s="16"/>
      <c r="B57" s="17"/>
      <c r="C57" s="17"/>
      <c r="D57" s="28" t="s">
        <v>477</v>
      </c>
      <c r="E57" s="18">
        <v>200000</v>
      </c>
      <c r="F57" s="13">
        <f t="shared" si="12"/>
        <v>0</v>
      </c>
      <c r="G57" s="13"/>
      <c r="H57" s="19">
        <f t="shared" si="13"/>
        <v>200000</v>
      </c>
      <c r="I57" s="18">
        <v>0</v>
      </c>
      <c r="J57" s="13">
        <f t="shared" si="16"/>
        <v>0</v>
      </c>
      <c r="K57" s="13"/>
      <c r="L57" s="13"/>
      <c r="M57" s="13"/>
      <c r="N57" s="13"/>
      <c r="O57" s="19">
        <f t="shared" si="14"/>
        <v>0</v>
      </c>
      <c r="P57" s="18"/>
      <c r="Q57" s="13">
        <f t="shared" si="10"/>
        <v>0</v>
      </c>
      <c r="R57" s="19">
        <f t="shared" si="11"/>
        <v>200000</v>
      </c>
    </row>
    <row r="58" spans="1:19" s="20" customFormat="1" ht="15" customHeight="1" x14ac:dyDescent="0.2">
      <c r="A58" s="16"/>
      <c r="B58" s="17"/>
      <c r="C58" s="17"/>
      <c r="D58" s="28" t="s">
        <v>478</v>
      </c>
      <c r="E58" s="18">
        <v>10000</v>
      </c>
      <c r="F58" s="13">
        <f t="shared" si="12"/>
        <v>0</v>
      </c>
      <c r="G58" s="13"/>
      <c r="H58" s="19">
        <f t="shared" si="13"/>
        <v>10000</v>
      </c>
      <c r="I58" s="18">
        <v>70000</v>
      </c>
      <c r="J58" s="13">
        <f t="shared" si="16"/>
        <v>0</v>
      </c>
      <c r="K58" s="13"/>
      <c r="L58" s="13"/>
      <c r="M58" s="13"/>
      <c r="N58" s="13"/>
      <c r="O58" s="19">
        <f t="shared" si="14"/>
        <v>70000</v>
      </c>
      <c r="P58" s="18"/>
      <c r="Q58" s="13">
        <f t="shared" si="10"/>
        <v>0</v>
      </c>
      <c r="R58" s="19">
        <f t="shared" si="11"/>
        <v>80000</v>
      </c>
    </row>
    <row r="59" spans="1:19" s="20" customFormat="1" ht="15" customHeight="1" x14ac:dyDescent="0.2">
      <c r="A59" s="16"/>
      <c r="B59" s="17"/>
      <c r="C59" s="17"/>
      <c r="D59" s="28" t="s">
        <v>481</v>
      </c>
      <c r="E59" s="18">
        <v>225000</v>
      </c>
      <c r="F59" s="13">
        <f t="shared" si="12"/>
        <v>0</v>
      </c>
      <c r="G59" s="13"/>
      <c r="H59" s="19">
        <f t="shared" si="13"/>
        <v>225000</v>
      </c>
      <c r="I59" s="18">
        <v>75000</v>
      </c>
      <c r="J59" s="13">
        <f t="shared" si="16"/>
        <v>0</v>
      </c>
      <c r="K59" s="13"/>
      <c r="L59" s="13"/>
      <c r="M59" s="13"/>
      <c r="N59" s="13"/>
      <c r="O59" s="19">
        <f t="shared" si="14"/>
        <v>75000</v>
      </c>
      <c r="P59" s="18"/>
      <c r="Q59" s="13">
        <f t="shared" si="10"/>
        <v>0</v>
      </c>
      <c r="R59" s="19">
        <f t="shared" si="11"/>
        <v>300000</v>
      </c>
    </row>
    <row r="60" spans="1:19" s="20" customFormat="1" ht="15" customHeight="1" x14ac:dyDescent="0.2">
      <c r="A60" s="16"/>
      <c r="B60" s="17"/>
      <c r="C60" s="17"/>
      <c r="D60" s="28" t="s">
        <v>480</v>
      </c>
      <c r="E60" s="18">
        <v>35000</v>
      </c>
      <c r="F60" s="13">
        <f t="shared" si="12"/>
        <v>0</v>
      </c>
      <c r="G60" s="13"/>
      <c r="H60" s="19">
        <f t="shared" si="13"/>
        <v>35000</v>
      </c>
      <c r="I60" s="18">
        <v>40000</v>
      </c>
      <c r="J60" s="13">
        <f t="shared" si="16"/>
        <v>0</v>
      </c>
      <c r="K60" s="13"/>
      <c r="L60" s="13"/>
      <c r="M60" s="13"/>
      <c r="N60" s="13"/>
      <c r="O60" s="19">
        <f t="shared" si="14"/>
        <v>40000</v>
      </c>
      <c r="P60" s="18"/>
      <c r="Q60" s="13">
        <f t="shared" si="10"/>
        <v>0</v>
      </c>
      <c r="R60" s="19">
        <f t="shared" si="11"/>
        <v>75000</v>
      </c>
    </row>
    <row r="61" spans="1:19" s="20" customFormat="1" ht="26.25" customHeight="1" x14ac:dyDescent="0.2">
      <c r="A61" s="16"/>
      <c r="B61" s="17"/>
      <c r="C61" s="17"/>
      <c r="D61" s="81" t="s">
        <v>513</v>
      </c>
      <c r="E61" s="18"/>
      <c r="F61" s="13"/>
      <c r="G61" s="13"/>
      <c r="H61" s="19"/>
      <c r="I61" s="18">
        <v>1789200</v>
      </c>
      <c r="J61" s="13">
        <f t="shared" si="16"/>
        <v>0</v>
      </c>
      <c r="K61" s="13"/>
      <c r="L61" s="13"/>
      <c r="M61" s="13"/>
      <c r="N61" s="13"/>
      <c r="O61" s="19">
        <f t="shared" si="14"/>
        <v>1789200</v>
      </c>
      <c r="P61" s="18">
        <f t="shared" si="15"/>
        <v>1789200</v>
      </c>
      <c r="Q61" s="13">
        <f t="shared" si="10"/>
        <v>0</v>
      </c>
      <c r="R61" s="19">
        <f t="shared" si="11"/>
        <v>1789200</v>
      </c>
    </row>
    <row r="62" spans="1:19" s="20" customFormat="1" ht="24" x14ac:dyDescent="0.2">
      <c r="A62" s="16" t="s">
        <v>233</v>
      </c>
      <c r="B62" s="17">
        <v>1030</v>
      </c>
      <c r="C62" s="17" t="s">
        <v>85</v>
      </c>
      <c r="D62" s="23" t="s">
        <v>32</v>
      </c>
      <c r="E62" s="18">
        <v>1903900</v>
      </c>
      <c r="F62" s="13">
        <f t="shared" si="12"/>
        <v>0</v>
      </c>
      <c r="G62" s="13"/>
      <c r="H62" s="19">
        <f t="shared" si="13"/>
        <v>1903900</v>
      </c>
      <c r="I62" s="18">
        <v>0</v>
      </c>
      <c r="J62" s="13">
        <f t="shared" si="16"/>
        <v>0</v>
      </c>
      <c r="K62" s="13"/>
      <c r="L62" s="13"/>
      <c r="M62" s="13"/>
      <c r="N62" s="13"/>
      <c r="O62" s="19">
        <f t="shared" si="14"/>
        <v>0</v>
      </c>
      <c r="P62" s="18">
        <f t="shared" si="15"/>
        <v>1903900</v>
      </c>
      <c r="Q62" s="13">
        <f t="shared" si="10"/>
        <v>0</v>
      </c>
      <c r="R62" s="19">
        <f t="shared" si="11"/>
        <v>1903900</v>
      </c>
    </row>
    <row r="63" spans="1:19" s="20" customFormat="1" ht="39" customHeight="1" x14ac:dyDescent="0.2">
      <c r="A63" s="16"/>
      <c r="B63" s="17"/>
      <c r="C63" s="17"/>
      <c r="D63" s="81" t="s">
        <v>57</v>
      </c>
      <c r="E63" s="18">
        <v>1133500</v>
      </c>
      <c r="F63" s="13">
        <f t="shared" si="12"/>
        <v>0</v>
      </c>
      <c r="G63" s="13"/>
      <c r="H63" s="19">
        <f t="shared" si="13"/>
        <v>1133500</v>
      </c>
      <c r="I63" s="18"/>
      <c r="J63" s="13">
        <f t="shared" si="16"/>
        <v>0</v>
      </c>
      <c r="K63" s="13"/>
      <c r="L63" s="13"/>
      <c r="M63" s="13"/>
      <c r="N63" s="13"/>
      <c r="O63" s="19"/>
      <c r="P63" s="18">
        <f t="shared" si="15"/>
        <v>1133500</v>
      </c>
      <c r="Q63" s="13">
        <f t="shared" si="10"/>
        <v>0</v>
      </c>
      <c r="R63" s="19">
        <f t="shared" si="11"/>
        <v>1133500</v>
      </c>
    </row>
    <row r="64" spans="1:19" s="20" customFormat="1" ht="63.75" customHeight="1" x14ac:dyDescent="0.2">
      <c r="A64" s="16" t="s">
        <v>234</v>
      </c>
      <c r="B64" s="17">
        <v>1070</v>
      </c>
      <c r="C64" s="17" t="s">
        <v>86</v>
      </c>
      <c r="D64" s="82" t="s">
        <v>33</v>
      </c>
      <c r="E64" s="18">
        <v>14380000</v>
      </c>
      <c r="F64" s="13">
        <f t="shared" si="12"/>
        <v>0</v>
      </c>
      <c r="G64" s="13"/>
      <c r="H64" s="19">
        <f t="shared" si="13"/>
        <v>14380000</v>
      </c>
      <c r="I64" s="18">
        <v>0</v>
      </c>
      <c r="J64" s="13">
        <f t="shared" ref="J64:J69" si="17">K64+L64</f>
        <v>400000</v>
      </c>
      <c r="K64" s="13"/>
      <c r="L64" s="13">
        <f>400000</f>
        <v>400000</v>
      </c>
      <c r="M64" s="13">
        <f>400000</f>
        <v>400000</v>
      </c>
      <c r="N64" s="13">
        <f>400000</f>
        <v>400000</v>
      </c>
      <c r="O64" s="19">
        <f t="shared" si="14"/>
        <v>400000</v>
      </c>
      <c r="P64" s="18">
        <f t="shared" si="15"/>
        <v>14380000</v>
      </c>
      <c r="Q64" s="13">
        <f t="shared" si="10"/>
        <v>400000</v>
      </c>
      <c r="R64" s="19">
        <f t="shared" si="11"/>
        <v>14780000</v>
      </c>
    </row>
    <row r="65" spans="1:18" s="20" customFormat="1" ht="41.25" customHeight="1" x14ac:dyDescent="0.2">
      <c r="A65" s="16"/>
      <c r="B65" s="17"/>
      <c r="C65" s="17"/>
      <c r="D65" s="83" t="s">
        <v>57</v>
      </c>
      <c r="E65" s="18">
        <v>9345600</v>
      </c>
      <c r="F65" s="13">
        <f t="shared" si="12"/>
        <v>0</v>
      </c>
      <c r="G65" s="13"/>
      <c r="H65" s="19">
        <f t="shared" si="13"/>
        <v>9345600</v>
      </c>
      <c r="I65" s="18">
        <v>0</v>
      </c>
      <c r="J65" s="13">
        <f t="shared" si="17"/>
        <v>0</v>
      </c>
      <c r="K65" s="13"/>
      <c r="L65" s="13"/>
      <c r="M65" s="13"/>
      <c r="N65" s="13"/>
      <c r="O65" s="19">
        <f t="shared" si="14"/>
        <v>0</v>
      </c>
      <c r="P65" s="18">
        <f t="shared" si="15"/>
        <v>9345600</v>
      </c>
      <c r="Q65" s="13">
        <f t="shared" si="10"/>
        <v>0</v>
      </c>
      <c r="R65" s="19">
        <f t="shared" si="11"/>
        <v>9345600</v>
      </c>
    </row>
    <row r="66" spans="1:18" s="20" customFormat="1" ht="37.5" customHeight="1" x14ac:dyDescent="0.2">
      <c r="A66" s="16" t="s">
        <v>235</v>
      </c>
      <c r="B66" s="17">
        <v>1090</v>
      </c>
      <c r="C66" s="17" t="s">
        <v>87</v>
      </c>
      <c r="D66" s="82" t="s">
        <v>34</v>
      </c>
      <c r="E66" s="18">
        <v>17104922</v>
      </c>
      <c r="F66" s="13">
        <f t="shared" si="12"/>
        <v>0</v>
      </c>
      <c r="G66" s="13"/>
      <c r="H66" s="19">
        <f t="shared" si="13"/>
        <v>17104922</v>
      </c>
      <c r="I66" s="18">
        <v>1900000</v>
      </c>
      <c r="J66" s="13">
        <f t="shared" si="17"/>
        <v>1500000</v>
      </c>
      <c r="K66" s="13"/>
      <c r="L66" s="13">
        <f>1500000</f>
        <v>1500000</v>
      </c>
      <c r="M66" s="13">
        <f>1500000</f>
        <v>1500000</v>
      </c>
      <c r="N66" s="13">
        <f>1500000</f>
        <v>1500000</v>
      </c>
      <c r="O66" s="19">
        <f t="shared" si="14"/>
        <v>3400000</v>
      </c>
      <c r="P66" s="18">
        <f t="shared" si="15"/>
        <v>19004922</v>
      </c>
      <c r="Q66" s="13">
        <f t="shared" si="10"/>
        <v>1500000</v>
      </c>
      <c r="R66" s="19">
        <f t="shared" si="11"/>
        <v>20504922</v>
      </c>
    </row>
    <row r="67" spans="1:18" s="20" customFormat="1" ht="29.25" customHeight="1" x14ac:dyDescent="0.2">
      <c r="A67" s="16" t="s">
        <v>236</v>
      </c>
      <c r="B67" s="17" t="s">
        <v>148</v>
      </c>
      <c r="C67" s="17" t="s">
        <v>54</v>
      </c>
      <c r="D67" s="82" t="s">
        <v>149</v>
      </c>
      <c r="E67" s="18">
        <v>110856200</v>
      </c>
      <c r="F67" s="13">
        <f t="shared" si="12"/>
        <v>5000</v>
      </c>
      <c r="G67" s="13">
        <v>5000</v>
      </c>
      <c r="H67" s="19">
        <f t="shared" si="13"/>
        <v>110861200</v>
      </c>
      <c r="I67" s="18">
        <v>11205000</v>
      </c>
      <c r="J67" s="13">
        <f t="shared" si="17"/>
        <v>-5000</v>
      </c>
      <c r="K67" s="13"/>
      <c r="L67" s="13">
        <f>-5000</f>
        <v>-5000</v>
      </c>
      <c r="M67" s="13">
        <f>-5000</f>
        <v>-5000</v>
      </c>
      <c r="N67" s="13"/>
      <c r="O67" s="19">
        <f t="shared" si="14"/>
        <v>11200000</v>
      </c>
      <c r="P67" s="18">
        <f>E67+I67</f>
        <v>122061200</v>
      </c>
      <c r="Q67" s="13">
        <f t="shared" si="10"/>
        <v>0</v>
      </c>
      <c r="R67" s="19">
        <f t="shared" si="11"/>
        <v>122061200</v>
      </c>
    </row>
    <row r="68" spans="1:18" s="20" customFormat="1" ht="38.25" customHeight="1" x14ac:dyDescent="0.2">
      <c r="A68" s="16"/>
      <c r="B68" s="17"/>
      <c r="C68" s="17"/>
      <c r="D68" s="83" t="s">
        <v>57</v>
      </c>
      <c r="E68" s="18">
        <v>16447400</v>
      </c>
      <c r="F68" s="13">
        <f t="shared" si="12"/>
        <v>0</v>
      </c>
      <c r="G68" s="13"/>
      <c r="H68" s="19">
        <f t="shared" si="13"/>
        <v>16447400</v>
      </c>
      <c r="I68" s="18"/>
      <c r="J68" s="13">
        <f t="shared" si="17"/>
        <v>0</v>
      </c>
      <c r="K68" s="13"/>
      <c r="L68" s="13"/>
      <c r="M68" s="13"/>
      <c r="N68" s="13"/>
      <c r="O68" s="19"/>
      <c r="P68" s="18">
        <f t="shared" si="15"/>
        <v>16447400</v>
      </c>
      <c r="Q68" s="13">
        <f t="shared" si="10"/>
        <v>0</v>
      </c>
      <c r="R68" s="19">
        <f t="shared" si="11"/>
        <v>16447400</v>
      </c>
    </row>
    <row r="69" spans="1:18" s="20" customFormat="1" ht="38.25" customHeight="1" x14ac:dyDescent="0.2">
      <c r="A69" s="16"/>
      <c r="B69" s="17"/>
      <c r="C69" s="17"/>
      <c r="D69" s="83" t="s">
        <v>531</v>
      </c>
      <c r="E69" s="18"/>
      <c r="F69" s="13">
        <f t="shared" si="12"/>
        <v>5000</v>
      </c>
      <c r="G69" s="13">
        <v>5000</v>
      </c>
      <c r="H69" s="19">
        <f t="shared" si="13"/>
        <v>5000</v>
      </c>
      <c r="I69" s="18">
        <v>5000</v>
      </c>
      <c r="J69" s="13">
        <f t="shared" si="17"/>
        <v>-5000</v>
      </c>
      <c r="K69" s="13"/>
      <c r="L69" s="13">
        <v>-5000</v>
      </c>
      <c r="M69" s="13">
        <v>-5000</v>
      </c>
      <c r="N69" s="13"/>
      <c r="O69" s="19"/>
      <c r="P69" s="18">
        <f t="shared" si="15"/>
        <v>5000</v>
      </c>
      <c r="Q69" s="13">
        <f t="shared" si="10"/>
        <v>0</v>
      </c>
      <c r="R69" s="19">
        <f t="shared" si="11"/>
        <v>5000</v>
      </c>
    </row>
    <row r="70" spans="1:18" s="20" customFormat="1" ht="24.75" customHeight="1" x14ac:dyDescent="0.2">
      <c r="A70" s="16" t="s">
        <v>237</v>
      </c>
      <c r="B70" s="17">
        <v>1140</v>
      </c>
      <c r="C70" s="17" t="s">
        <v>88</v>
      </c>
      <c r="D70" s="82" t="s">
        <v>150</v>
      </c>
      <c r="E70" s="18">
        <v>50000</v>
      </c>
      <c r="F70" s="13">
        <f t="shared" si="12"/>
        <v>0</v>
      </c>
      <c r="G70" s="13"/>
      <c r="H70" s="19">
        <f t="shared" si="13"/>
        <v>50000</v>
      </c>
      <c r="I70" s="18">
        <v>0</v>
      </c>
      <c r="J70" s="13">
        <f t="shared" ref="J70:J80" si="18">K70+L70</f>
        <v>0</v>
      </c>
      <c r="K70" s="13"/>
      <c r="L70" s="13"/>
      <c r="M70" s="13"/>
      <c r="N70" s="13"/>
      <c r="O70" s="19">
        <f t="shared" si="14"/>
        <v>0</v>
      </c>
      <c r="P70" s="18">
        <f t="shared" si="15"/>
        <v>50000</v>
      </c>
      <c r="Q70" s="13">
        <f t="shared" si="10"/>
        <v>0</v>
      </c>
      <c r="R70" s="19">
        <f t="shared" si="11"/>
        <v>50000</v>
      </c>
    </row>
    <row r="71" spans="1:18" s="20" customFormat="1" ht="24" customHeight="1" x14ac:dyDescent="0.2">
      <c r="A71" s="16" t="s">
        <v>238</v>
      </c>
      <c r="B71" s="17" t="s">
        <v>151</v>
      </c>
      <c r="C71" s="17" t="s">
        <v>89</v>
      </c>
      <c r="D71" s="82" t="s">
        <v>152</v>
      </c>
      <c r="E71" s="18">
        <v>3609200</v>
      </c>
      <c r="F71" s="13">
        <f t="shared" si="12"/>
        <v>-50000</v>
      </c>
      <c r="G71" s="13">
        <v>-50000</v>
      </c>
      <c r="H71" s="19">
        <f t="shared" si="13"/>
        <v>3559200</v>
      </c>
      <c r="I71" s="18">
        <v>0</v>
      </c>
      <c r="J71" s="13">
        <f t="shared" si="18"/>
        <v>0</v>
      </c>
      <c r="K71" s="13"/>
      <c r="L71" s="13"/>
      <c r="M71" s="13"/>
      <c r="N71" s="13"/>
      <c r="O71" s="19">
        <f t="shared" si="14"/>
        <v>0</v>
      </c>
      <c r="P71" s="18">
        <f t="shared" si="15"/>
        <v>3609200</v>
      </c>
      <c r="Q71" s="13">
        <f t="shared" si="10"/>
        <v>-50000</v>
      </c>
      <c r="R71" s="19">
        <f t="shared" si="11"/>
        <v>3559200</v>
      </c>
    </row>
    <row r="72" spans="1:18" s="20" customFormat="1" ht="21.95" customHeight="1" x14ac:dyDescent="0.2">
      <c r="A72" s="16" t="s">
        <v>493</v>
      </c>
      <c r="B72" s="17" t="s">
        <v>495</v>
      </c>
      <c r="C72" s="17" t="s">
        <v>89</v>
      </c>
      <c r="D72" s="82" t="s">
        <v>497</v>
      </c>
      <c r="E72" s="18">
        <v>17017000</v>
      </c>
      <c r="F72" s="13">
        <f t="shared" si="12"/>
        <v>175000</v>
      </c>
      <c r="G72" s="13">
        <f>125000+50000</f>
        <v>175000</v>
      </c>
      <c r="H72" s="19">
        <f t="shared" si="13"/>
        <v>17192000</v>
      </c>
      <c r="I72" s="18">
        <v>893000</v>
      </c>
      <c r="J72" s="13">
        <f t="shared" si="18"/>
        <v>0</v>
      </c>
      <c r="K72" s="13"/>
      <c r="L72" s="13"/>
      <c r="M72" s="13"/>
      <c r="N72" s="13"/>
      <c r="O72" s="19">
        <f t="shared" si="14"/>
        <v>893000</v>
      </c>
      <c r="P72" s="18">
        <f t="shared" si="15"/>
        <v>17910000</v>
      </c>
      <c r="Q72" s="13">
        <f t="shared" si="10"/>
        <v>175000</v>
      </c>
      <c r="R72" s="19">
        <f t="shared" si="11"/>
        <v>18085000</v>
      </c>
    </row>
    <row r="73" spans="1:18" s="20" customFormat="1" ht="23.45" customHeight="1" x14ac:dyDescent="0.2">
      <c r="A73" s="16" t="s">
        <v>494</v>
      </c>
      <c r="B73" s="17" t="s">
        <v>496</v>
      </c>
      <c r="C73" s="17" t="s">
        <v>89</v>
      </c>
      <c r="D73" s="23" t="s">
        <v>498</v>
      </c>
      <c r="E73" s="18">
        <v>145000</v>
      </c>
      <c r="F73" s="13">
        <f t="shared" si="12"/>
        <v>0</v>
      </c>
      <c r="G73" s="13"/>
      <c r="H73" s="19">
        <f t="shared" si="13"/>
        <v>145000</v>
      </c>
      <c r="I73" s="18">
        <v>0</v>
      </c>
      <c r="J73" s="13">
        <f t="shared" si="18"/>
        <v>0</v>
      </c>
      <c r="K73" s="13"/>
      <c r="L73" s="13"/>
      <c r="M73" s="13"/>
      <c r="N73" s="13"/>
      <c r="O73" s="19">
        <f t="shared" si="14"/>
        <v>0</v>
      </c>
      <c r="P73" s="18">
        <f t="shared" si="15"/>
        <v>145000</v>
      </c>
      <c r="Q73" s="13">
        <f t="shared" si="10"/>
        <v>0</v>
      </c>
      <c r="R73" s="19">
        <f t="shared" si="11"/>
        <v>145000</v>
      </c>
    </row>
    <row r="74" spans="1:18" s="20" customFormat="1" ht="21.95" customHeight="1" x14ac:dyDescent="0.2">
      <c r="A74" s="16" t="s">
        <v>239</v>
      </c>
      <c r="B74" s="17" t="s">
        <v>153</v>
      </c>
      <c r="C74" s="17" t="s">
        <v>90</v>
      </c>
      <c r="D74" s="23" t="s">
        <v>154</v>
      </c>
      <c r="E74" s="18">
        <v>3169700</v>
      </c>
      <c r="F74" s="13">
        <f t="shared" si="12"/>
        <v>0</v>
      </c>
      <c r="G74" s="13"/>
      <c r="H74" s="19">
        <f>E74+F74</f>
        <v>3169700</v>
      </c>
      <c r="I74" s="18">
        <v>500000</v>
      </c>
      <c r="J74" s="13">
        <f t="shared" si="18"/>
        <v>800000</v>
      </c>
      <c r="K74" s="13"/>
      <c r="L74" s="13">
        <f>800000</f>
        <v>800000</v>
      </c>
      <c r="M74" s="13">
        <f>800000</f>
        <v>800000</v>
      </c>
      <c r="N74" s="13">
        <f>800000</f>
        <v>800000</v>
      </c>
      <c r="O74" s="19">
        <f t="shared" si="14"/>
        <v>1300000</v>
      </c>
      <c r="P74" s="18">
        <f t="shared" si="15"/>
        <v>3669700</v>
      </c>
      <c r="Q74" s="13">
        <f t="shared" si="10"/>
        <v>800000</v>
      </c>
      <c r="R74" s="19">
        <f t="shared" si="11"/>
        <v>4469700</v>
      </c>
    </row>
    <row r="75" spans="1:18" s="20" customFormat="1" ht="63" customHeight="1" x14ac:dyDescent="0.2">
      <c r="A75" s="16" t="s">
        <v>240</v>
      </c>
      <c r="B75" s="17" t="s">
        <v>155</v>
      </c>
      <c r="C75" s="17" t="s">
        <v>90</v>
      </c>
      <c r="D75" s="82" t="s">
        <v>156</v>
      </c>
      <c r="E75" s="18">
        <v>1000000</v>
      </c>
      <c r="F75" s="13">
        <f t="shared" si="12"/>
        <v>-753440</v>
      </c>
      <c r="G75" s="13">
        <v>-753440</v>
      </c>
      <c r="H75" s="19">
        <f t="shared" si="13"/>
        <v>246560</v>
      </c>
      <c r="I75" s="18">
        <v>0</v>
      </c>
      <c r="J75" s="13">
        <f t="shared" si="18"/>
        <v>0</v>
      </c>
      <c r="K75" s="13"/>
      <c r="L75" s="13"/>
      <c r="M75" s="13"/>
      <c r="N75" s="13"/>
      <c r="O75" s="19">
        <f t="shared" si="14"/>
        <v>0</v>
      </c>
      <c r="P75" s="18">
        <f>E75+I75</f>
        <v>1000000</v>
      </c>
      <c r="Q75" s="13">
        <f t="shared" si="10"/>
        <v>-753440</v>
      </c>
      <c r="R75" s="19">
        <f t="shared" si="11"/>
        <v>246560</v>
      </c>
    </row>
    <row r="76" spans="1:18" s="20" customFormat="1" ht="33" customHeight="1" x14ac:dyDescent="0.2">
      <c r="A76" s="16" t="s">
        <v>241</v>
      </c>
      <c r="B76" s="17" t="s">
        <v>128</v>
      </c>
      <c r="C76" s="17" t="s">
        <v>91</v>
      </c>
      <c r="D76" s="82" t="s">
        <v>116</v>
      </c>
      <c r="E76" s="18">
        <v>15601100</v>
      </c>
      <c r="F76" s="13">
        <f t="shared" si="12"/>
        <v>0</v>
      </c>
      <c r="G76" s="13"/>
      <c r="H76" s="19">
        <f t="shared" si="13"/>
        <v>15601100</v>
      </c>
      <c r="I76" s="18">
        <v>171700</v>
      </c>
      <c r="J76" s="13">
        <f t="shared" si="18"/>
        <v>900000</v>
      </c>
      <c r="K76" s="13"/>
      <c r="L76" s="13">
        <f>900000</f>
        <v>900000</v>
      </c>
      <c r="M76" s="13">
        <f>900000</f>
        <v>900000</v>
      </c>
      <c r="N76" s="13">
        <f>900000</f>
        <v>900000</v>
      </c>
      <c r="O76" s="19">
        <f t="shared" si="14"/>
        <v>1071700</v>
      </c>
      <c r="P76" s="18">
        <f t="shared" si="15"/>
        <v>15772800</v>
      </c>
      <c r="Q76" s="13">
        <f t="shared" si="10"/>
        <v>900000</v>
      </c>
      <c r="R76" s="19">
        <f t="shared" si="11"/>
        <v>16672800</v>
      </c>
    </row>
    <row r="77" spans="1:18" s="20" customFormat="1" ht="21.95" hidden="1" customHeight="1" x14ac:dyDescent="0.2">
      <c r="A77" s="16">
        <v>1016310</v>
      </c>
      <c r="B77" s="17">
        <v>6310</v>
      </c>
      <c r="C77" s="17" t="s">
        <v>77</v>
      </c>
      <c r="D77" s="23" t="s">
        <v>35</v>
      </c>
      <c r="E77" s="18">
        <v>0</v>
      </c>
      <c r="F77" s="13">
        <f t="shared" si="12"/>
        <v>0</v>
      </c>
      <c r="G77" s="13"/>
      <c r="H77" s="19">
        <f t="shared" si="13"/>
        <v>0</v>
      </c>
      <c r="I77" s="18">
        <v>0</v>
      </c>
      <c r="J77" s="13">
        <f t="shared" si="18"/>
        <v>0</v>
      </c>
      <c r="K77" s="13"/>
      <c r="L77" s="13">
        <f>M77</f>
        <v>0</v>
      </c>
      <c r="M77" s="13"/>
      <c r="N77" s="13"/>
      <c r="O77" s="19">
        <f t="shared" si="14"/>
        <v>0</v>
      </c>
      <c r="P77" s="18">
        <f t="shared" si="15"/>
        <v>0</v>
      </c>
      <c r="Q77" s="13">
        <f t="shared" si="10"/>
        <v>0</v>
      </c>
      <c r="R77" s="19">
        <f t="shared" si="11"/>
        <v>0</v>
      </c>
    </row>
    <row r="78" spans="1:18" s="20" customFormat="1" ht="19.5" customHeight="1" x14ac:dyDescent="0.2">
      <c r="A78" s="16" t="s">
        <v>494</v>
      </c>
      <c r="B78" s="17" t="s">
        <v>496</v>
      </c>
      <c r="C78" s="17" t="s">
        <v>89</v>
      </c>
      <c r="D78" s="23" t="s">
        <v>498</v>
      </c>
      <c r="E78" s="18">
        <v>500000</v>
      </c>
      <c r="F78" s="13">
        <f t="shared" si="12"/>
        <v>0</v>
      </c>
      <c r="G78" s="13"/>
      <c r="H78" s="19">
        <f t="shared" si="13"/>
        <v>500000</v>
      </c>
      <c r="I78" s="18">
        <v>0</v>
      </c>
      <c r="J78" s="13">
        <f t="shared" si="18"/>
        <v>0</v>
      </c>
      <c r="K78" s="13"/>
      <c r="L78" s="13"/>
      <c r="M78" s="13"/>
      <c r="N78" s="13"/>
      <c r="O78" s="19">
        <f t="shared" si="14"/>
        <v>0</v>
      </c>
      <c r="P78" s="18">
        <f t="shared" si="15"/>
        <v>500000</v>
      </c>
      <c r="Q78" s="13">
        <f t="shared" si="10"/>
        <v>0</v>
      </c>
      <c r="R78" s="19">
        <f t="shared" si="11"/>
        <v>500000</v>
      </c>
    </row>
    <row r="79" spans="1:18" s="20" customFormat="1" ht="27.75" customHeight="1" x14ac:dyDescent="0.2">
      <c r="A79" s="16"/>
      <c r="B79" s="17"/>
      <c r="C79" s="17"/>
      <c r="D79" s="21" t="s">
        <v>83</v>
      </c>
      <c r="E79" s="18">
        <v>500000</v>
      </c>
      <c r="F79" s="13">
        <f t="shared" si="12"/>
        <v>0</v>
      </c>
      <c r="G79" s="13"/>
      <c r="H79" s="19">
        <f t="shared" si="13"/>
        <v>500000</v>
      </c>
      <c r="I79" s="18">
        <v>0</v>
      </c>
      <c r="J79" s="13">
        <f t="shared" si="18"/>
        <v>0</v>
      </c>
      <c r="K79" s="13"/>
      <c r="L79" s="13"/>
      <c r="M79" s="13"/>
      <c r="N79" s="13"/>
      <c r="O79" s="19">
        <f t="shared" si="14"/>
        <v>0</v>
      </c>
      <c r="P79" s="18">
        <f t="shared" si="15"/>
        <v>500000</v>
      </c>
      <c r="Q79" s="13">
        <f t="shared" si="10"/>
        <v>0</v>
      </c>
      <c r="R79" s="19">
        <f t="shared" si="11"/>
        <v>500000</v>
      </c>
    </row>
    <row r="80" spans="1:18" s="20" customFormat="1" ht="37.5" customHeight="1" x14ac:dyDescent="0.2">
      <c r="A80" s="16" t="s">
        <v>503</v>
      </c>
      <c r="B80" s="17" t="s">
        <v>504</v>
      </c>
      <c r="C80" s="34" t="s">
        <v>77</v>
      </c>
      <c r="D80" s="35" t="s">
        <v>505</v>
      </c>
      <c r="E80" s="18"/>
      <c r="F80" s="13"/>
      <c r="G80" s="13"/>
      <c r="H80" s="19"/>
      <c r="I80" s="18">
        <v>391250</v>
      </c>
      <c r="J80" s="13">
        <f t="shared" si="18"/>
        <v>0</v>
      </c>
      <c r="K80" s="13"/>
      <c r="L80" s="13"/>
      <c r="M80" s="13"/>
      <c r="N80" s="13"/>
      <c r="O80" s="19">
        <f t="shared" si="14"/>
        <v>391250</v>
      </c>
      <c r="P80" s="18">
        <f t="shared" si="15"/>
        <v>391250</v>
      </c>
      <c r="Q80" s="13">
        <f t="shared" si="10"/>
        <v>0</v>
      </c>
      <c r="R80" s="19">
        <f t="shared" si="11"/>
        <v>391250</v>
      </c>
    </row>
    <row r="81" spans="1:19" s="20" customFormat="1" ht="81.75" customHeight="1" x14ac:dyDescent="0.2">
      <c r="A81" s="16" t="s">
        <v>436</v>
      </c>
      <c r="B81" s="17" t="s">
        <v>434</v>
      </c>
      <c r="C81" s="17" t="s">
        <v>77</v>
      </c>
      <c r="D81" s="23" t="s">
        <v>435</v>
      </c>
      <c r="E81" s="18"/>
      <c r="F81" s="13"/>
      <c r="G81" s="13"/>
      <c r="H81" s="19"/>
      <c r="I81" s="18">
        <v>1000000</v>
      </c>
      <c r="J81" s="13">
        <f>K81+L81</f>
        <v>-49000</v>
      </c>
      <c r="K81" s="13">
        <f>-49000</f>
        <v>-49000</v>
      </c>
      <c r="L81" s="13"/>
      <c r="M81" s="13"/>
      <c r="N81" s="13"/>
      <c r="O81" s="19">
        <f t="shared" si="14"/>
        <v>951000</v>
      </c>
      <c r="P81" s="18">
        <f>E81+I81</f>
        <v>1000000</v>
      </c>
      <c r="Q81" s="13">
        <f t="shared" si="10"/>
        <v>-49000</v>
      </c>
      <c r="R81" s="19">
        <f t="shared" si="11"/>
        <v>951000</v>
      </c>
    </row>
    <row r="82" spans="1:19" s="20" customFormat="1" ht="26.25" customHeight="1" x14ac:dyDescent="0.2">
      <c r="A82" s="16" t="s">
        <v>511</v>
      </c>
      <c r="B82" s="17" t="s">
        <v>167</v>
      </c>
      <c r="C82" s="17" t="s">
        <v>58</v>
      </c>
      <c r="D82" s="23" t="s">
        <v>23</v>
      </c>
      <c r="E82" s="18"/>
      <c r="F82" s="13"/>
      <c r="G82" s="13"/>
      <c r="H82" s="19"/>
      <c r="I82" s="18">
        <v>325000</v>
      </c>
      <c r="J82" s="13">
        <f>K82+L82</f>
        <v>0</v>
      </c>
      <c r="K82" s="13"/>
      <c r="L82" s="13"/>
      <c r="M82" s="13"/>
      <c r="N82" s="13"/>
      <c r="O82" s="19">
        <f t="shared" si="14"/>
        <v>325000</v>
      </c>
      <c r="P82" s="18">
        <f>E82+I82</f>
        <v>325000</v>
      </c>
      <c r="Q82" s="13">
        <f t="shared" si="10"/>
        <v>0</v>
      </c>
      <c r="R82" s="19">
        <f t="shared" si="11"/>
        <v>325000</v>
      </c>
    </row>
    <row r="83" spans="1:19" s="9" customFormat="1" ht="25.5" customHeight="1" x14ac:dyDescent="0.2">
      <c r="A83" s="29" t="s">
        <v>182</v>
      </c>
      <c r="B83" s="11"/>
      <c r="C83" s="11"/>
      <c r="D83" s="95" t="s">
        <v>158</v>
      </c>
      <c r="E83" s="96">
        <v>237388736</v>
      </c>
      <c r="F83" s="97">
        <f>F85+F86+F88+F90+F92+F94+F101+F103</f>
        <v>4597602</v>
      </c>
      <c r="G83" s="97">
        <f>G85+G86+G88+G90+G92+G94+G101+G103</f>
        <v>4597602</v>
      </c>
      <c r="H83" s="103">
        <f>H85+H86+H88+H90+H92+H94+H101+H103</f>
        <v>241986338</v>
      </c>
      <c r="I83" s="96">
        <v>40511922</v>
      </c>
      <c r="J83" s="97">
        <f t="shared" ref="J83:O83" si="19">J86+J88+J90+J92+J103++J85+J105+J94</f>
        <v>292100</v>
      </c>
      <c r="K83" s="97">
        <f t="shared" si="19"/>
        <v>250000</v>
      </c>
      <c r="L83" s="97">
        <f t="shared" si="19"/>
        <v>42100</v>
      </c>
      <c r="M83" s="97">
        <f t="shared" si="19"/>
        <v>292100</v>
      </c>
      <c r="N83" s="97">
        <f t="shared" si="19"/>
        <v>194300</v>
      </c>
      <c r="O83" s="101">
        <f t="shared" si="19"/>
        <v>40804022</v>
      </c>
      <c r="P83" s="96">
        <f>E83+I83</f>
        <v>277900658</v>
      </c>
      <c r="Q83" s="104">
        <f>F83+J83</f>
        <v>4889702</v>
      </c>
      <c r="R83" s="105">
        <f>H83+O83</f>
        <v>282790360</v>
      </c>
      <c r="S83" s="36"/>
    </row>
    <row r="84" spans="1:19" s="9" customFormat="1" ht="26.25" customHeight="1" x14ac:dyDescent="0.2">
      <c r="A84" s="29" t="s">
        <v>183</v>
      </c>
      <c r="B84" s="11"/>
      <c r="C84" s="11"/>
      <c r="D84" s="95" t="s">
        <v>158</v>
      </c>
      <c r="E84" s="96"/>
      <c r="F84" s="104"/>
      <c r="G84" s="104"/>
      <c r="H84" s="105"/>
      <c r="I84" s="106"/>
      <c r="J84" s="100"/>
      <c r="K84" s="97"/>
      <c r="L84" s="97"/>
      <c r="M84" s="97"/>
      <c r="N84" s="97"/>
      <c r="O84" s="101"/>
      <c r="P84" s="107"/>
      <c r="Q84" s="108"/>
      <c r="R84" s="109"/>
    </row>
    <row r="85" spans="1:19" s="80" customFormat="1" ht="26.25" customHeight="1" x14ac:dyDescent="0.2">
      <c r="A85" s="16" t="s">
        <v>184</v>
      </c>
      <c r="B85" s="17" t="s">
        <v>123</v>
      </c>
      <c r="C85" s="17" t="s">
        <v>66</v>
      </c>
      <c r="D85" s="23" t="s">
        <v>157</v>
      </c>
      <c r="E85" s="18">
        <v>1462000</v>
      </c>
      <c r="F85" s="37">
        <f>G85</f>
        <v>0</v>
      </c>
      <c r="G85" s="37"/>
      <c r="H85" s="19">
        <f>E85+F85</f>
        <v>1462000</v>
      </c>
      <c r="I85" s="18">
        <v>500000</v>
      </c>
      <c r="J85" s="13">
        <f>K85+L85</f>
        <v>-50000</v>
      </c>
      <c r="K85" s="13"/>
      <c r="L85" s="13">
        <f>-50000</f>
        <v>-50000</v>
      </c>
      <c r="M85" s="13">
        <f>-50000</f>
        <v>-50000</v>
      </c>
      <c r="N85" s="13">
        <f>-50000</f>
        <v>-50000</v>
      </c>
      <c r="O85" s="19">
        <f>I85+J85</f>
        <v>450000</v>
      </c>
      <c r="P85" s="18">
        <f t="shared" ref="P85:P105" si="20">E85+I85</f>
        <v>1962000</v>
      </c>
      <c r="Q85" s="37">
        <f t="shared" ref="Q85:Q104" si="21">F85+J85</f>
        <v>-50000</v>
      </c>
      <c r="R85" s="38">
        <f t="shared" ref="R85:R105" si="22">H85+O85</f>
        <v>1912000</v>
      </c>
    </row>
    <row r="86" spans="1:19" s="20" customFormat="1" ht="23.45" customHeight="1" x14ac:dyDescent="0.2">
      <c r="A86" s="16" t="s">
        <v>185</v>
      </c>
      <c r="B86" s="17">
        <v>2010</v>
      </c>
      <c r="C86" s="17" t="s">
        <v>60</v>
      </c>
      <c r="D86" s="23" t="s">
        <v>36</v>
      </c>
      <c r="E86" s="18">
        <v>113130636</v>
      </c>
      <c r="F86" s="37">
        <f t="shared" ref="F86:F104" si="23">G86</f>
        <v>4237000</v>
      </c>
      <c r="G86" s="37">
        <f>172000+48000+17000+1500000+2500000</f>
        <v>4237000</v>
      </c>
      <c r="H86" s="19">
        <f t="shared" ref="H86:H104" si="24">E86+F86</f>
        <v>117367636</v>
      </c>
      <c r="I86" s="39">
        <v>29727512</v>
      </c>
      <c r="J86" s="13">
        <f>K86+L86</f>
        <v>-5997400</v>
      </c>
      <c r="K86" s="13"/>
      <c r="L86" s="13">
        <f>-5997400</f>
        <v>-5997400</v>
      </c>
      <c r="M86" s="13">
        <f>-5997400</f>
        <v>-5997400</v>
      </c>
      <c r="N86" s="13">
        <f>-5997400</f>
        <v>-5997400</v>
      </c>
      <c r="O86" s="19">
        <f t="shared" ref="O86:O105" si="25">I86+J86</f>
        <v>23730112</v>
      </c>
      <c r="P86" s="18">
        <f t="shared" si="20"/>
        <v>142858148</v>
      </c>
      <c r="Q86" s="37">
        <f t="shared" si="21"/>
        <v>-1760400</v>
      </c>
      <c r="R86" s="38">
        <f t="shared" si="22"/>
        <v>141097748</v>
      </c>
    </row>
    <row r="87" spans="1:19" s="40" customFormat="1" ht="37.5" customHeight="1" x14ac:dyDescent="0.2">
      <c r="A87" s="16"/>
      <c r="B87" s="17"/>
      <c r="C87" s="17"/>
      <c r="D87" s="27" t="s">
        <v>59</v>
      </c>
      <c r="E87" s="18">
        <v>95024500</v>
      </c>
      <c r="F87" s="37">
        <f t="shared" si="23"/>
        <v>0</v>
      </c>
      <c r="G87" s="37"/>
      <c r="H87" s="19">
        <f t="shared" si="24"/>
        <v>95024500</v>
      </c>
      <c r="I87" s="39">
        <v>0</v>
      </c>
      <c r="J87" s="13">
        <f>K87+L87</f>
        <v>0</v>
      </c>
      <c r="K87" s="13"/>
      <c r="L87" s="13"/>
      <c r="M87" s="13"/>
      <c r="N87" s="13"/>
      <c r="O87" s="19">
        <f t="shared" si="25"/>
        <v>0</v>
      </c>
      <c r="P87" s="18">
        <f t="shared" si="20"/>
        <v>95024500</v>
      </c>
      <c r="Q87" s="37">
        <f t="shared" si="21"/>
        <v>0</v>
      </c>
      <c r="R87" s="38">
        <f t="shared" si="22"/>
        <v>95024500</v>
      </c>
    </row>
    <row r="88" spans="1:19" s="20" customFormat="1" ht="33" customHeight="1" x14ac:dyDescent="0.2">
      <c r="A88" s="16" t="s">
        <v>186</v>
      </c>
      <c r="B88" s="17" t="s">
        <v>159</v>
      </c>
      <c r="C88" s="17" t="s">
        <v>61</v>
      </c>
      <c r="D88" s="23" t="s">
        <v>44</v>
      </c>
      <c r="E88" s="18">
        <v>34853600</v>
      </c>
      <c r="F88" s="37">
        <f t="shared" si="23"/>
        <v>295102</v>
      </c>
      <c r="G88" s="37">
        <f>289102+6000</f>
        <v>295102</v>
      </c>
      <c r="H88" s="19">
        <f t="shared" si="24"/>
        <v>35148702</v>
      </c>
      <c r="I88" s="39">
        <v>2064010</v>
      </c>
      <c r="J88" s="13">
        <f>K88+L88</f>
        <v>244300</v>
      </c>
      <c r="K88" s="13"/>
      <c r="L88" s="13">
        <f>244300</f>
        <v>244300</v>
      </c>
      <c r="M88" s="13">
        <f>244300</f>
        <v>244300</v>
      </c>
      <c r="N88" s="13">
        <f>244300</f>
        <v>244300</v>
      </c>
      <c r="O88" s="19">
        <f t="shared" si="25"/>
        <v>2308310</v>
      </c>
      <c r="P88" s="18">
        <f t="shared" si="20"/>
        <v>36917610</v>
      </c>
      <c r="Q88" s="37">
        <f t="shared" si="21"/>
        <v>539402</v>
      </c>
      <c r="R88" s="38">
        <f t="shared" si="22"/>
        <v>37457012</v>
      </c>
    </row>
    <row r="89" spans="1:19" s="20" customFormat="1" ht="40.5" customHeight="1" x14ac:dyDescent="0.2">
      <c r="A89" s="16"/>
      <c r="B89" s="17"/>
      <c r="C89" s="17"/>
      <c r="D89" s="27" t="s">
        <v>59</v>
      </c>
      <c r="E89" s="18">
        <v>28325200</v>
      </c>
      <c r="F89" s="37">
        <f t="shared" si="23"/>
        <v>0</v>
      </c>
      <c r="G89" s="37"/>
      <c r="H89" s="19">
        <f t="shared" si="24"/>
        <v>28325200</v>
      </c>
      <c r="I89" s="39">
        <v>0</v>
      </c>
      <c r="J89" s="13"/>
      <c r="K89" s="13"/>
      <c r="L89" s="13"/>
      <c r="M89" s="13"/>
      <c r="N89" s="13"/>
      <c r="O89" s="19">
        <f t="shared" si="25"/>
        <v>0</v>
      </c>
      <c r="P89" s="18">
        <f t="shared" si="20"/>
        <v>28325200</v>
      </c>
      <c r="Q89" s="37">
        <f t="shared" si="21"/>
        <v>0</v>
      </c>
      <c r="R89" s="38">
        <f t="shared" si="22"/>
        <v>28325200</v>
      </c>
    </row>
    <row r="90" spans="1:19" s="20" customFormat="1" ht="24.75" customHeight="1" x14ac:dyDescent="0.2">
      <c r="A90" s="16" t="s">
        <v>187</v>
      </c>
      <c r="B90" s="17" t="s">
        <v>160</v>
      </c>
      <c r="C90" s="17" t="s">
        <v>62</v>
      </c>
      <c r="D90" s="23" t="s">
        <v>424</v>
      </c>
      <c r="E90" s="18">
        <v>33731700</v>
      </c>
      <c r="F90" s="37">
        <f t="shared" si="23"/>
        <v>61000</v>
      </c>
      <c r="G90" s="37">
        <f>50000+11000</f>
        <v>61000</v>
      </c>
      <c r="H90" s="19">
        <f t="shared" si="24"/>
        <v>33792700</v>
      </c>
      <c r="I90" s="39">
        <v>4584000</v>
      </c>
      <c r="J90" s="13">
        <f>K90+L90</f>
        <v>5997400</v>
      </c>
      <c r="K90" s="13"/>
      <c r="L90" s="13">
        <f>5997400</f>
        <v>5997400</v>
      </c>
      <c r="M90" s="13">
        <f>5997400</f>
        <v>5997400</v>
      </c>
      <c r="N90" s="13">
        <f>5997400</f>
        <v>5997400</v>
      </c>
      <c r="O90" s="19">
        <f t="shared" si="25"/>
        <v>10581400</v>
      </c>
      <c r="P90" s="18">
        <f t="shared" si="20"/>
        <v>38315700</v>
      </c>
      <c r="Q90" s="37">
        <f t="shared" si="21"/>
        <v>6058400</v>
      </c>
      <c r="R90" s="38">
        <f t="shared" si="22"/>
        <v>44374100</v>
      </c>
    </row>
    <row r="91" spans="1:19" s="40" customFormat="1" ht="33.75" customHeight="1" x14ac:dyDescent="0.2">
      <c r="A91" s="16"/>
      <c r="B91" s="17"/>
      <c r="C91" s="17"/>
      <c r="D91" s="27" t="s">
        <v>59</v>
      </c>
      <c r="E91" s="18">
        <v>27746300</v>
      </c>
      <c r="F91" s="37">
        <f t="shared" si="23"/>
        <v>0</v>
      </c>
      <c r="G91" s="37"/>
      <c r="H91" s="19">
        <f t="shared" si="24"/>
        <v>27746300</v>
      </c>
      <c r="I91" s="39">
        <v>0</v>
      </c>
      <c r="J91" s="13"/>
      <c r="K91" s="13"/>
      <c r="L91" s="13"/>
      <c r="M91" s="13"/>
      <c r="N91" s="13"/>
      <c r="O91" s="19">
        <f t="shared" si="25"/>
        <v>0</v>
      </c>
      <c r="P91" s="18">
        <f t="shared" si="20"/>
        <v>27746300</v>
      </c>
      <c r="Q91" s="37">
        <f t="shared" si="21"/>
        <v>0</v>
      </c>
      <c r="R91" s="38">
        <f t="shared" si="22"/>
        <v>27746300</v>
      </c>
    </row>
    <row r="92" spans="1:19" s="20" customFormat="1" ht="19.5" customHeight="1" x14ac:dyDescent="0.2">
      <c r="A92" s="16" t="s">
        <v>188</v>
      </c>
      <c r="B92" s="17" t="s">
        <v>161</v>
      </c>
      <c r="C92" s="17" t="s">
        <v>63</v>
      </c>
      <c r="D92" s="23" t="s">
        <v>162</v>
      </c>
      <c r="E92" s="18">
        <v>13792200</v>
      </c>
      <c r="F92" s="37">
        <f t="shared" si="23"/>
        <v>4500</v>
      </c>
      <c r="G92" s="37">
        <f>4500</f>
        <v>4500</v>
      </c>
      <c r="H92" s="19">
        <f t="shared" si="24"/>
        <v>13796700</v>
      </c>
      <c r="I92" s="39">
        <v>1089400</v>
      </c>
      <c r="J92" s="13">
        <f>K92+L92</f>
        <v>0</v>
      </c>
      <c r="K92" s="13"/>
      <c r="L92" s="13"/>
      <c r="M92" s="13"/>
      <c r="N92" s="13"/>
      <c r="O92" s="19">
        <f t="shared" si="25"/>
        <v>1089400</v>
      </c>
      <c r="P92" s="18">
        <f t="shared" si="20"/>
        <v>14881600</v>
      </c>
      <c r="Q92" s="37">
        <f t="shared" si="21"/>
        <v>4500</v>
      </c>
      <c r="R92" s="38">
        <f t="shared" si="22"/>
        <v>14886100</v>
      </c>
    </row>
    <row r="93" spans="1:19" s="20" customFormat="1" ht="29.25" customHeight="1" x14ac:dyDescent="0.2">
      <c r="A93" s="16"/>
      <c r="B93" s="17"/>
      <c r="C93" s="17"/>
      <c r="D93" s="27" t="s">
        <v>59</v>
      </c>
      <c r="E93" s="18">
        <v>13136100</v>
      </c>
      <c r="F93" s="37">
        <f t="shared" si="23"/>
        <v>0</v>
      </c>
      <c r="G93" s="37"/>
      <c r="H93" s="19">
        <f t="shared" si="24"/>
        <v>13136100</v>
      </c>
      <c r="I93" s="39">
        <v>0</v>
      </c>
      <c r="J93" s="13">
        <f t="shared" ref="J93:J102" si="26">K93+L93</f>
        <v>0</v>
      </c>
      <c r="K93" s="13"/>
      <c r="L93" s="13"/>
      <c r="M93" s="13"/>
      <c r="N93" s="13"/>
      <c r="O93" s="19">
        <f t="shared" si="25"/>
        <v>0</v>
      </c>
      <c r="P93" s="18">
        <f t="shared" si="20"/>
        <v>13136100</v>
      </c>
      <c r="Q93" s="37">
        <f t="shared" si="21"/>
        <v>0</v>
      </c>
      <c r="R93" s="38">
        <f t="shared" si="22"/>
        <v>13136100</v>
      </c>
    </row>
    <row r="94" spans="1:19" s="20" customFormat="1" ht="37.9" customHeight="1" x14ac:dyDescent="0.2">
      <c r="A94" s="16" t="s">
        <v>470</v>
      </c>
      <c r="B94" s="17" t="s">
        <v>471</v>
      </c>
      <c r="C94" s="17" t="s">
        <v>62</v>
      </c>
      <c r="D94" s="84" t="s">
        <v>476</v>
      </c>
      <c r="E94" s="18">
        <v>33561900</v>
      </c>
      <c r="F94" s="37">
        <f t="shared" si="23"/>
        <v>0</v>
      </c>
      <c r="G94" s="37"/>
      <c r="H94" s="19">
        <f t="shared" si="24"/>
        <v>33561900</v>
      </c>
      <c r="I94" s="39">
        <v>47000</v>
      </c>
      <c r="J94" s="13">
        <f t="shared" si="26"/>
        <v>97800</v>
      </c>
      <c r="K94" s="13"/>
      <c r="L94" s="13">
        <f>97800</f>
        <v>97800</v>
      </c>
      <c r="M94" s="13">
        <f>97800</f>
        <v>97800</v>
      </c>
      <c r="N94" s="13"/>
      <c r="O94" s="19">
        <f t="shared" si="25"/>
        <v>144800</v>
      </c>
      <c r="P94" s="18">
        <f t="shared" si="20"/>
        <v>33608900</v>
      </c>
      <c r="Q94" s="37">
        <f t="shared" si="21"/>
        <v>97800</v>
      </c>
      <c r="R94" s="38">
        <f t="shared" si="22"/>
        <v>33706700</v>
      </c>
    </row>
    <row r="95" spans="1:19" s="20" customFormat="1" ht="40.5" customHeight="1" x14ac:dyDescent="0.2">
      <c r="A95" s="16"/>
      <c r="B95" s="17"/>
      <c r="C95" s="85"/>
      <c r="D95" s="27" t="s">
        <v>59</v>
      </c>
      <c r="E95" s="18">
        <v>33006700</v>
      </c>
      <c r="F95" s="37">
        <f t="shared" si="23"/>
        <v>0</v>
      </c>
      <c r="G95" s="37"/>
      <c r="H95" s="19">
        <f t="shared" si="24"/>
        <v>33006700</v>
      </c>
      <c r="I95" s="39">
        <v>0</v>
      </c>
      <c r="J95" s="13">
        <f t="shared" si="26"/>
        <v>0</v>
      </c>
      <c r="K95" s="13"/>
      <c r="L95" s="13"/>
      <c r="M95" s="13"/>
      <c r="N95" s="13"/>
      <c r="O95" s="19">
        <f t="shared" si="25"/>
        <v>0</v>
      </c>
      <c r="P95" s="18">
        <f t="shared" si="20"/>
        <v>33006700</v>
      </c>
      <c r="Q95" s="37">
        <f t="shared" si="21"/>
        <v>0</v>
      </c>
      <c r="R95" s="38">
        <f t="shared" si="22"/>
        <v>33006700</v>
      </c>
    </row>
    <row r="96" spans="1:19" s="20" customFormat="1" ht="26.45" customHeight="1" x14ac:dyDescent="0.2">
      <c r="A96" s="16"/>
      <c r="B96" s="17"/>
      <c r="C96" s="85"/>
      <c r="D96" s="28" t="s">
        <v>477</v>
      </c>
      <c r="E96" s="18">
        <v>160000</v>
      </c>
      <c r="F96" s="37">
        <f t="shared" si="23"/>
        <v>0</v>
      </c>
      <c r="G96" s="37"/>
      <c r="H96" s="19">
        <f t="shared" si="24"/>
        <v>160000</v>
      </c>
      <c r="I96" s="39">
        <v>0</v>
      </c>
      <c r="J96" s="13">
        <f t="shared" si="26"/>
        <v>0</v>
      </c>
      <c r="K96" s="13"/>
      <c r="L96" s="13"/>
      <c r="M96" s="13"/>
      <c r="N96" s="13"/>
      <c r="O96" s="19">
        <f t="shared" si="25"/>
        <v>0</v>
      </c>
      <c r="P96" s="18">
        <f t="shared" si="20"/>
        <v>160000</v>
      </c>
      <c r="Q96" s="37">
        <f t="shared" si="21"/>
        <v>0</v>
      </c>
      <c r="R96" s="38">
        <f t="shared" si="22"/>
        <v>160000</v>
      </c>
    </row>
    <row r="97" spans="1:18" s="20" customFormat="1" ht="25.9" customHeight="1" x14ac:dyDescent="0.2">
      <c r="A97" s="16"/>
      <c r="B97" s="17"/>
      <c r="C97" s="85"/>
      <c r="D97" s="28" t="s">
        <v>478</v>
      </c>
      <c r="E97" s="18">
        <v>50000</v>
      </c>
      <c r="F97" s="37">
        <f t="shared" si="23"/>
        <v>0</v>
      </c>
      <c r="G97" s="37"/>
      <c r="H97" s="19">
        <f t="shared" si="24"/>
        <v>50000</v>
      </c>
      <c r="I97" s="39">
        <v>0</v>
      </c>
      <c r="J97" s="13">
        <f t="shared" si="26"/>
        <v>0</v>
      </c>
      <c r="K97" s="13"/>
      <c r="L97" s="13"/>
      <c r="M97" s="13"/>
      <c r="N97" s="13"/>
      <c r="O97" s="19">
        <f t="shared" si="25"/>
        <v>0</v>
      </c>
      <c r="P97" s="18">
        <f t="shared" si="20"/>
        <v>50000</v>
      </c>
      <c r="Q97" s="37">
        <f t="shared" si="21"/>
        <v>0</v>
      </c>
      <c r="R97" s="38">
        <f t="shared" si="22"/>
        <v>50000</v>
      </c>
    </row>
    <row r="98" spans="1:18" s="20" customFormat="1" ht="24.6" customHeight="1" x14ac:dyDescent="0.2">
      <c r="A98" s="16"/>
      <c r="B98" s="17"/>
      <c r="C98" s="85"/>
      <c r="D98" s="28" t="s">
        <v>479</v>
      </c>
      <c r="E98" s="18">
        <v>53000</v>
      </c>
      <c r="F98" s="37">
        <f t="shared" si="23"/>
        <v>0</v>
      </c>
      <c r="G98" s="37"/>
      <c r="H98" s="19">
        <f t="shared" si="24"/>
        <v>53000</v>
      </c>
      <c r="I98" s="39">
        <f>47000</f>
        <v>47000</v>
      </c>
      <c r="J98" s="13">
        <f t="shared" si="26"/>
        <v>0</v>
      </c>
      <c r="K98" s="13"/>
      <c r="L98" s="13"/>
      <c r="M98" s="13"/>
      <c r="N98" s="13"/>
      <c r="O98" s="19">
        <f t="shared" si="25"/>
        <v>47000</v>
      </c>
      <c r="P98" s="18">
        <f t="shared" si="20"/>
        <v>100000</v>
      </c>
      <c r="Q98" s="37">
        <f t="shared" si="21"/>
        <v>0</v>
      </c>
      <c r="R98" s="38">
        <f t="shared" si="22"/>
        <v>100000</v>
      </c>
    </row>
    <row r="99" spans="1:18" s="20" customFormat="1" ht="13.15" customHeight="1" x14ac:dyDescent="0.2">
      <c r="A99" s="16"/>
      <c r="B99" s="17"/>
      <c r="C99" s="85"/>
      <c r="D99" s="28" t="s">
        <v>480</v>
      </c>
      <c r="E99" s="18">
        <v>20000</v>
      </c>
      <c r="F99" s="37">
        <f t="shared" si="23"/>
        <v>0</v>
      </c>
      <c r="G99" s="37"/>
      <c r="H99" s="19">
        <f t="shared" si="24"/>
        <v>20000</v>
      </c>
      <c r="I99" s="39">
        <v>0</v>
      </c>
      <c r="J99" s="13">
        <f t="shared" si="26"/>
        <v>0</v>
      </c>
      <c r="K99" s="13"/>
      <c r="L99" s="13"/>
      <c r="M99" s="13"/>
      <c r="N99" s="13"/>
      <c r="O99" s="19">
        <f t="shared" si="25"/>
        <v>0</v>
      </c>
      <c r="P99" s="18">
        <f t="shared" si="20"/>
        <v>20000</v>
      </c>
      <c r="Q99" s="37">
        <f t="shared" si="21"/>
        <v>0</v>
      </c>
      <c r="R99" s="38">
        <f t="shared" si="22"/>
        <v>20000</v>
      </c>
    </row>
    <row r="100" spans="1:18" s="20" customFormat="1" ht="19.899999999999999" customHeight="1" x14ac:dyDescent="0.2">
      <c r="A100" s="16"/>
      <c r="B100" s="17"/>
      <c r="C100" s="85"/>
      <c r="D100" s="28" t="s">
        <v>481</v>
      </c>
      <c r="E100" s="18">
        <v>132200</v>
      </c>
      <c r="F100" s="37">
        <f t="shared" si="23"/>
        <v>0</v>
      </c>
      <c r="G100" s="37"/>
      <c r="H100" s="19">
        <f t="shared" si="24"/>
        <v>132200</v>
      </c>
      <c r="I100" s="39">
        <v>0</v>
      </c>
      <c r="J100" s="13">
        <f t="shared" si="26"/>
        <v>97800</v>
      </c>
      <c r="K100" s="13"/>
      <c r="L100" s="13">
        <f>97800</f>
        <v>97800</v>
      </c>
      <c r="M100" s="13">
        <f>97800</f>
        <v>97800</v>
      </c>
      <c r="N100" s="13"/>
      <c r="O100" s="19">
        <f t="shared" si="25"/>
        <v>97800</v>
      </c>
      <c r="P100" s="18">
        <f t="shared" si="20"/>
        <v>132200</v>
      </c>
      <c r="Q100" s="37">
        <f t="shared" si="21"/>
        <v>97800</v>
      </c>
      <c r="R100" s="38">
        <f>H100+O100</f>
        <v>230000</v>
      </c>
    </row>
    <row r="101" spans="1:18" s="20" customFormat="1" ht="30.75" customHeight="1" x14ac:dyDescent="0.2">
      <c r="A101" s="16" t="s">
        <v>458</v>
      </c>
      <c r="B101" s="17" t="s">
        <v>472</v>
      </c>
      <c r="C101" s="17" t="s">
        <v>459</v>
      </c>
      <c r="D101" s="21" t="s">
        <v>457</v>
      </c>
      <c r="E101" s="18">
        <v>6510700</v>
      </c>
      <c r="F101" s="37">
        <f t="shared" si="23"/>
        <v>0</v>
      </c>
      <c r="G101" s="37"/>
      <c r="H101" s="19">
        <f t="shared" si="24"/>
        <v>6510700</v>
      </c>
      <c r="I101" s="39">
        <v>0</v>
      </c>
      <c r="J101" s="13">
        <f t="shared" si="26"/>
        <v>0</v>
      </c>
      <c r="K101" s="13"/>
      <c r="L101" s="13"/>
      <c r="M101" s="13"/>
      <c r="N101" s="13"/>
      <c r="O101" s="19">
        <f t="shared" si="25"/>
        <v>0</v>
      </c>
      <c r="P101" s="18">
        <f t="shared" si="20"/>
        <v>6510700</v>
      </c>
      <c r="Q101" s="37">
        <f t="shared" si="21"/>
        <v>0</v>
      </c>
      <c r="R101" s="38">
        <f t="shared" si="22"/>
        <v>6510700</v>
      </c>
    </row>
    <row r="102" spans="1:18" s="20" customFormat="1" ht="40.5" customHeight="1" x14ac:dyDescent="0.2">
      <c r="A102" s="41"/>
      <c r="B102" s="17"/>
      <c r="C102" s="17"/>
      <c r="D102" s="86" t="s">
        <v>460</v>
      </c>
      <c r="E102" s="18">
        <v>6510700</v>
      </c>
      <c r="F102" s="37">
        <f t="shared" si="23"/>
        <v>0</v>
      </c>
      <c r="G102" s="37"/>
      <c r="H102" s="19">
        <f t="shared" si="24"/>
        <v>6510700</v>
      </c>
      <c r="I102" s="39">
        <v>0</v>
      </c>
      <c r="J102" s="13">
        <f t="shared" si="26"/>
        <v>0</v>
      </c>
      <c r="K102" s="13"/>
      <c r="L102" s="13"/>
      <c r="M102" s="13"/>
      <c r="N102" s="13"/>
      <c r="O102" s="19">
        <f t="shared" si="25"/>
        <v>0</v>
      </c>
      <c r="P102" s="18">
        <f t="shared" si="20"/>
        <v>6510700</v>
      </c>
      <c r="Q102" s="37">
        <f t="shared" si="21"/>
        <v>0</v>
      </c>
      <c r="R102" s="38">
        <f t="shared" si="22"/>
        <v>6510700</v>
      </c>
    </row>
    <row r="103" spans="1:18" s="20" customFormat="1" ht="28.9" customHeight="1" x14ac:dyDescent="0.2">
      <c r="A103" s="16" t="s">
        <v>474</v>
      </c>
      <c r="B103" s="17" t="s">
        <v>475</v>
      </c>
      <c r="C103" s="17" t="s">
        <v>64</v>
      </c>
      <c r="D103" s="60" t="s">
        <v>473</v>
      </c>
      <c r="E103" s="18">
        <v>346000</v>
      </c>
      <c r="F103" s="37">
        <f t="shared" si="23"/>
        <v>0</v>
      </c>
      <c r="G103" s="37"/>
      <c r="H103" s="19">
        <f t="shared" si="24"/>
        <v>346000</v>
      </c>
      <c r="I103" s="39">
        <v>0</v>
      </c>
      <c r="J103" s="13">
        <f>K103+L103</f>
        <v>0</v>
      </c>
      <c r="K103" s="13"/>
      <c r="L103" s="13"/>
      <c r="M103" s="13"/>
      <c r="N103" s="13"/>
      <c r="O103" s="19">
        <f t="shared" si="25"/>
        <v>0</v>
      </c>
      <c r="P103" s="18">
        <f t="shared" si="20"/>
        <v>346000</v>
      </c>
      <c r="Q103" s="37">
        <f t="shared" si="21"/>
        <v>0</v>
      </c>
      <c r="R103" s="38">
        <f t="shared" si="22"/>
        <v>346000</v>
      </c>
    </row>
    <row r="104" spans="1:18" s="40" customFormat="1" ht="42.75" customHeight="1" x14ac:dyDescent="0.2">
      <c r="A104" s="16"/>
      <c r="B104" s="17"/>
      <c r="C104" s="17"/>
      <c r="D104" s="27" t="s">
        <v>461</v>
      </c>
      <c r="E104" s="18">
        <v>26000</v>
      </c>
      <c r="F104" s="37">
        <f t="shared" si="23"/>
        <v>0</v>
      </c>
      <c r="G104" s="37"/>
      <c r="H104" s="19">
        <f t="shared" si="24"/>
        <v>26000</v>
      </c>
      <c r="I104" s="39">
        <v>0</v>
      </c>
      <c r="J104" s="13"/>
      <c r="K104" s="13"/>
      <c r="L104" s="13"/>
      <c r="M104" s="13"/>
      <c r="N104" s="13"/>
      <c r="O104" s="19">
        <f t="shared" si="25"/>
        <v>0</v>
      </c>
      <c r="P104" s="18">
        <f t="shared" si="20"/>
        <v>26000</v>
      </c>
      <c r="Q104" s="37">
        <f t="shared" si="21"/>
        <v>0</v>
      </c>
      <c r="R104" s="38">
        <f t="shared" si="22"/>
        <v>26000</v>
      </c>
    </row>
    <row r="105" spans="1:18" s="20" customFormat="1" ht="81" customHeight="1" x14ac:dyDescent="0.2">
      <c r="A105" s="16" t="s">
        <v>437</v>
      </c>
      <c r="B105" s="17" t="s">
        <v>434</v>
      </c>
      <c r="C105" s="17" t="s">
        <v>77</v>
      </c>
      <c r="D105" s="23" t="s">
        <v>435</v>
      </c>
      <c r="E105" s="18"/>
      <c r="F105" s="37"/>
      <c r="G105" s="42"/>
      <c r="H105" s="19"/>
      <c r="I105" s="18">
        <v>2500000</v>
      </c>
      <c r="J105" s="13">
        <f>K105+L105</f>
        <v>0</v>
      </c>
      <c r="K105" s="13">
        <v>250000</v>
      </c>
      <c r="L105" s="13">
        <v>-250000</v>
      </c>
      <c r="M105" s="13"/>
      <c r="N105" s="13"/>
      <c r="O105" s="19">
        <f t="shared" si="25"/>
        <v>2500000</v>
      </c>
      <c r="P105" s="18">
        <f t="shared" si="20"/>
        <v>2500000</v>
      </c>
      <c r="Q105" s="37">
        <f>F105+J105</f>
        <v>0</v>
      </c>
      <c r="R105" s="38">
        <f t="shared" si="22"/>
        <v>2500000</v>
      </c>
    </row>
    <row r="106" spans="1:18" s="9" customFormat="1" ht="21.95" customHeight="1" x14ac:dyDescent="0.2">
      <c r="A106" s="29" t="s">
        <v>189</v>
      </c>
      <c r="B106" s="11"/>
      <c r="C106" s="11"/>
      <c r="D106" s="95" t="s">
        <v>9</v>
      </c>
      <c r="E106" s="97">
        <f>E108+E109+E111+E112+E113+E114+E115+E116+E117+E118+E119+E120+E121+E122+E123+E124+E125+E126+E127+E128+E129+E130+E131+E132+E133+E134+E135+E136+E137+E138+E139+E149+E150+E152</f>
        <v>871017420</v>
      </c>
      <c r="F106" s="97">
        <f>F108+F109+F111+F112+F113+F114+F115+F116+F117+F118+F119+F120+F121+F122+F123+F124+F125+F126+F127+F128+F129+F130+F131+F132+F133+F134+F135+F136+F137+F138+F139+F149+F150+F152</f>
        <v>609060</v>
      </c>
      <c r="G106" s="97">
        <f>G108+G109+G111+G112+G113+G114+G115+G116+G117+G118+G119+G120+G121+G122+G123+G124+G125+G126+G127+G128+G129+G130+G131+G132+G133+G134+G135+G136+G137+G138+G139+G149+G150+G152</f>
        <v>609060</v>
      </c>
      <c r="H106" s="97">
        <f>H108+H109+H111+H112+H113+H114+H115+H116+H117+H118+H119+H120+H121+H122+H123+H124+H125+H126+H127+H128+H129+H130+H131+H132+H133+H134+H135+H136+H137+H138+H139+H149+H150+H152</f>
        <v>871626480</v>
      </c>
      <c r="I106" s="96">
        <v>1140000</v>
      </c>
      <c r="J106" s="97">
        <f t="shared" ref="J106:O106" si="27">J108+J109+J111+J112+J113+J114+J115+J116+J117+J118+J119+J120+J121+J122+J123+J124+J125+J126+J127+J128+J129+J130+J131+J133+J134+J136+J137+J138+J139+J149+J150+J152</f>
        <v>0</v>
      </c>
      <c r="K106" s="97">
        <f t="shared" si="27"/>
        <v>0</v>
      </c>
      <c r="L106" s="97">
        <f t="shared" si="27"/>
        <v>0</v>
      </c>
      <c r="M106" s="97">
        <f t="shared" si="27"/>
        <v>0</v>
      </c>
      <c r="N106" s="97">
        <f t="shared" si="27"/>
        <v>0</v>
      </c>
      <c r="O106" s="101">
        <f t="shared" si="27"/>
        <v>1140000</v>
      </c>
      <c r="P106" s="96">
        <f>E106+I106</f>
        <v>872157420</v>
      </c>
      <c r="Q106" s="97">
        <f>F106+J106</f>
        <v>609060</v>
      </c>
      <c r="R106" s="101">
        <f>H106+O106</f>
        <v>872766480</v>
      </c>
    </row>
    <row r="107" spans="1:18" s="9" customFormat="1" ht="21.95" customHeight="1" x14ac:dyDescent="0.2">
      <c r="A107" s="29" t="s">
        <v>226</v>
      </c>
      <c r="B107" s="11"/>
      <c r="C107" s="11"/>
      <c r="D107" s="95" t="s">
        <v>9</v>
      </c>
      <c r="E107" s="99"/>
      <c r="F107" s="110"/>
      <c r="G107" s="110"/>
      <c r="H107" s="98"/>
      <c r="I107" s="99"/>
      <c r="J107" s="100"/>
      <c r="K107" s="97"/>
      <c r="L107" s="97"/>
      <c r="M107" s="97"/>
      <c r="N107" s="97"/>
      <c r="O107" s="101"/>
      <c r="P107" s="107"/>
      <c r="Q107" s="100"/>
      <c r="R107" s="102"/>
    </row>
    <row r="108" spans="1:18" s="20" customFormat="1" ht="23.25" customHeight="1" x14ac:dyDescent="0.2">
      <c r="A108" s="16" t="s">
        <v>202</v>
      </c>
      <c r="B108" s="17" t="s">
        <v>123</v>
      </c>
      <c r="C108" s="17" t="s">
        <v>66</v>
      </c>
      <c r="D108" s="23" t="s">
        <v>10</v>
      </c>
      <c r="E108" s="18">
        <v>27120000</v>
      </c>
      <c r="F108" s="13">
        <f>G108</f>
        <v>0</v>
      </c>
      <c r="G108" s="13"/>
      <c r="H108" s="19">
        <f>E108+F108</f>
        <v>27120000</v>
      </c>
      <c r="I108" s="18">
        <v>490000</v>
      </c>
      <c r="J108" s="13">
        <f t="shared" ref="J108:J114" si="28">K108+L108</f>
        <v>0</v>
      </c>
      <c r="K108" s="13"/>
      <c r="L108" s="13"/>
      <c r="M108" s="13"/>
      <c r="N108" s="13"/>
      <c r="O108" s="19">
        <f>I108+J108</f>
        <v>490000</v>
      </c>
      <c r="P108" s="18">
        <f t="shared" ref="P108:P158" si="29">E108+I108</f>
        <v>27610000</v>
      </c>
      <c r="Q108" s="13">
        <f t="shared" ref="Q108:Q152" si="30">F108+J108</f>
        <v>0</v>
      </c>
      <c r="R108" s="19">
        <f t="shared" ref="R108:R152" si="31">H108+O108</f>
        <v>27610000</v>
      </c>
    </row>
    <row r="109" spans="1:18" s="20" customFormat="1" ht="23.25" customHeight="1" x14ac:dyDescent="0.2">
      <c r="A109" s="16" t="s">
        <v>447</v>
      </c>
      <c r="B109" s="17" t="s">
        <v>49</v>
      </c>
      <c r="C109" s="17" t="s">
        <v>53</v>
      </c>
      <c r="D109" s="23" t="s">
        <v>264</v>
      </c>
      <c r="E109" s="18">
        <v>10000</v>
      </c>
      <c r="F109" s="13">
        <f t="shared" ref="F109:F151" si="32">G109</f>
        <v>0</v>
      </c>
      <c r="G109" s="13"/>
      <c r="H109" s="19">
        <f t="shared" ref="H109:H151" si="33">E109+F109</f>
        <v>10000</v>
      </c>
      <c r="I109" s="18">
        <v>0</v>
      </c>
      <c r="J109" s="13">
        <f t="shared" si="28"/>
        <v>0</v>
      </c>
      <c r="K109" s="13"/>
      <c r="L109" s="13"/>
      <c r="M109" s="13"/>
      <c r="N109" s="13"/>
      <c r="O109" s="19">
        <f t="shared" ref="O109:O152" si="34">I109+J109</f>
        <v>0</v>
      </c>
      <c r="P109" s="18">
        <f t="shared" si="29"/>
        <v>10000</v>
      </c>
      <c r="Q109" s="13">
        <f t="shared" si="30"/>
        <v>0</v>
      </c>
      <c r="R109" s="19">
        <f>H109+O109</f>
        <v>10000</v>
      </c>
    </row>
    <row r="110" spans="1:18" s="20" customFormat="1" ht="68.25" customHeight="1" x14ac:dyDescent="0.2">
      <c r="A110" s="16"/>
      <c r="B110" s="17"/>
      <c r="C110" s="17"/>
      <c r="D110" s="23" t="s">
        <v>490</v>
      </c>
      <c r="E110" s="18">
        <v>10000</v>
      </c>
      <c r="F110" s="13">
        <f t="shared" si="32"/>
        <v>0</v>
      </c>
      <c r="G110" s="13"/>
      <c r="H110" s="19">
        <f t="shared" si="33"/>
        <v>10000</v>
      </c>
      <c r="I110" s="18"/>
      <c r="J110" s="13"/>
      <c r="K110" s="13"/>
      <c r="L110" s="13"/>
      <c r="M110" s="13"/>
      <c r="N110" s="13"/>
      <c r="O110" s="19"/>
      <c r="P110" s="18">
        <f t="shared" si="29"/>
        <v>10000</v>
      </c>
      <c r="Q110" s="13">
        <f t="shared" si="30"/>
        <v>0</v>
      </c>
      <c r="R110" s="19">
        <f>H110+O110</f>
        <v>10000</v>
      </c>
    </row>
    <row r="111" spans="1:18" s="20" customFormat="1" ht="116.25" customHeight="1" x14ac:dyDescent="0.2">
      <c r="A111" s="16" t="s">
        <v>215</v>
      </c>
      <c r="B111" s="17" t="s">
        <v>216</v>
      </c>
      <c r="C111" s="17" t="s">
        <v>90</v>
      </c>
      <c r="D111" s="23" t="s">
        <v>397</v>
      </c>
      <c r="E111" s="18">
        <v>1641900</v>
      </c>
      <c r="F111" s="13">
        <f t="shared" si="32"/>
        <v>0</v>
      </c>
      <c r="G111" s="37"/>
      <c r="H111" s="19">
        <f t="shared" si="33"/>
        <v>1641900</v>
      </c>
      <c r="I111" s="18">
        <v>0</v>
      </c>
      <c r="J111" s="13">
        <f t="shared" si="28"/>
        <v>0</v>
      </c>
      <c r="K111" s="13"/>
      <c r="L111" s="13"/>
      <c r="M111" s="13"/>
      <c r="N111" s="13"/>
      <c r="O111" s="19">
        <f t="shared" si="34"/>
        <v>0</v>
      </c>
      <c r="P111" s="18">
        <f t="shared" si="29"/>
        <v>1641900</v>
      </c>
      <c r="Q111" s="13">
        <f t="shared" si="30"/>
        <v>0</v>
      </c>
      <c r="R111" s="19">
        <f t="shared" si="31"/>
        <v>1641900</v>
      </c>
    </row>
    <row r="112" spans="1:18" s="20" customFormat="1" ht="38.25" customHeight="1" x14ac:dyDescent="0.2">
      <c r="A112" s="16" t="s">
        <v>220</v>
      </c>
      <c r="B112" s="17">
        <v>3011</v>
      </c>
      <c r="C112" s="17" t="s">
        <v>101</v>
      </c>
      <c r="D112" s="23" t="s">
        <v>219</v>
      </c>
      <c r="E112" s="18">
        <v>43000000</v>
      </c>
      <c r="F112" s="13">
        <f t="shared" si="32"/>
        <v>0</v>
      </c>
      <c r="G112" s="13"/>
      <c r="H112" s="19">
        <f t="shared" si="33"/>
        <v>43000000</v>
      </c>
      <c r="I112" s="18">
        <v>0</v>
      </c>
      <c r="J112" s="13">
        <f t="shared" si="28"/>
        <v>0</v>
      </c>
      <c r="K112" s="13"/>
      <c r="L112" s="13"/>
      <c r="M112" s="13"/>
      <c r="N112" s="13"/>
      <c r="O112" s="19">
        <f t="shared" si="34"/>
        <v>0</v>
      </c>
      <c r="P112" s="18">
        <f t="shared" si="29"/>
        <v>43000000</v>
      </c>
      <c r="Q112" s="13">
        <f t="shared" si="30"/>
        <v>0</v>
      </c>
      <c r="R112" s="19">
        <f t="shared" si="31"/>
        <v>43000000</v>
      </c>
    </row>
    <row r="113" spans="1:18" s="20" customFormat="1" ht="38.25" customHeight="1" x14ac:dyDescent="0.2">
      <c r="A113" s="16" t="s">
        <v>203</v>
      </c>
      <c r="B113" s="17" t="s">
        <v>225</v>
      </c>
      <c r="C113" s="17" t="s">
        <v>102</v>
      </c>
      <c r="D113" s="23" t="s">
        <v>11</v>
      </c>
      <c r="E113" s="18">
        <v>420887500</v>
      </c>
      <c r="F113" s="13">
        <f t="shared" si="32"/>
        <v>0</v>
      </c>
      <c r="G113" s="13"/>
      <c r="H113" s="19">
        <f t="shared" si="33"/>
        <v>420887500</v>
      </c>
      <c r="I113" s="18">
        <v>0</v>
      </c>
      <c r="J113" s="13">
        <f t="shared" si="28"/>
        <v>0</v>
      </c>
      <c r="K113" s="13"/>
      <c r="L113" s="13"/>
      <c r="M113" s="13"/>
      <c r="N113" s="13"/>
      <c r="O113" s="19">
        <f t="shared" si="34"/>
        <v>0</v>
      </c>
      <c r="P113" s="18">
        <f t="shared" si="29"/>
        <v>420887500</v>
      </c>
      <c r="Q113" s="13">
        <f t="shared" si="30"/>
        <v>0</v>
      </c>
      <c r="R113" s="19">
        <f t="shared" si="31"/>
        <v>420887500</v>
      </c>
    </row>
    <row r="114" spans="1:18" s="20" customFormat="1" ht="45.75" customHeight="1" x14ac:dyDescent="0.2">
      <c r="A114" s="16" t="s">
        <v>221</v>
      </c>
      <c r="B114" s="17" t="s">
        <v>115</v>
      </c>
      <c r="C114" s="17" t="s">
        <v>101</v>
      </c>
      <c r="D114" s="23" t="s">
        <v>222</v>
      </c>
      <c r="E114" s="18">
        <v>1200</v>
      </c>
      <c r="F114" s="13">
        <f t="shared" si="32"/>
        <v>0</v>
      </c>
      <c r="G114" s="13"/>
      <c r="H114" s="19">
        <f t="shared" si="33"/>
        <v>1200</v>
      </c>
      <c r="I114" s="18">
        <v>0</v>
      </c>
      <c r="J114" s="13">
        <f t="shared" si="28"/>
        <v>0</v>
      </c>
      <c r="K114" s="13"/>
      <c r="L114" s="13"/>
      <c r="M114" s="13"/>
      <c r="N114" s="13"/>
      <c r="O114" s="19">
        <f t="shared" si="34"/>
        <v>0</v>
      </c>
      <c r="P114" s="18">
        <f t="shared" si="29"/>
        <v>1200</v>
      </c>
      <c r="Q114" s="13">
        <f t="shared" si="30"/>
        <v>0</v>
      </c>
      <c r="R114" s="19">
        <f t="shared" si="31"/>
        <v>1200</v>
      </c>
    </row>
    <row r="115" spans="1:18" s="20" customFormat="1" ht="44.25" customHeight="1" x14ac:dyDescent="0.2">
      <c r="A115" s="16" t="s">
        <v>223</v>
      </c>
      <c r="B115" s="17" t="s">
        <v>224</v>
      </c>
      <c r="C115" s="17" t="s">
        <v>102</v>
      </c>
      <c r="D115" s="23" t="s">
        <v>43</v>
      </c>
      <c r="E115" s="18">
        <v>9100</v>
      </c>
      <c r="F115" s="13">
        <f t="shared" si="32"/>
        <v>0</v>
      </c>
      <c r="G115" s="13"/>
      <c r="H115" s="19">
        <f t="shared" si="33"/>
        <v>9100</v>
      </c>
      <c r="I115" s="18">
        <v>0</v>
      </c>
      <c r="J115" s="13">
        <f t="shared" ref="J115:J128" si="35">K115+L115</f>
        <v>0</v>
      </c>
      <c r="K115" s="13"/>
      <c r="L115" s="13"/>
      <c r="M115" s="13"/>
      <c r="N115" s="13"/>
      <c r="O115" s="19">
        <f t="shared" si="34"/>
        <v>0</v>
      </c>
      <c r="P115" s="18">
        <f t="shared" si="29"/>
        <v>9100</v>
      </c>
      <c r="Q115" s="13">
        <f t="shared" si="30"/>
        <v>0</v>
      </c>
      <c r="R115" s="19">
        <f t="shared" si="31"/>
        <v>9100</v>
      </c>
    </row>
    <row r="116" spans="1:18" s="20" customFormat="1" ht="33.75" customHeight="1" x14ac:dyDescent="0.2">
      <c r="A116" s="16" t="s">
        <v>204</v>
      </c>
      <c r="B116" s="17">
        <v>3031</v>
      </c>
      <c r="C116" s="17" t="s">
        <v>101</v>
      </c>
      <c r="D116" s="23" t="s">
        <v>177</v>
      </c>
      <c r="E116" s="18">
        <v>120000</v>
      </c>
      <c r="F116" s="13">
        <f t="shared" si="32"/>
        <v>0</v>
      </c>
      <c r="G116" s="13"/>
      <c r="H116" s="19">
        <f t="shared" si="33"/>
        <v>120000</v>
      </c>
      <c r="I116" s="18">
        <v>150000</v>
      </c>
      <c r="J116" s="13">
        <f t="shared" si="35"/>
        <v>0</v>
      </c>
      <c r="K116" s="13"/>
      <c r="L116" s="13"/>
      <c r="M116" s="13"/>
      <c r="N116" s="13"/>
      <c r="O116" s="19">
        <f t="shared" si="34"/>
        <v>150000</v>
      </c>
      <c r="P116" s="18">
        <f t="shared" si="29"/>
        <v>270000</v>
      </c>
      <c r="Q116" s="13">
        <f t="shared" si="30"/>
        <v>0</v>
      </c>
      <c r="R116" s="19">
        <f t="shared" si="31"/>
        <v>270000</v>
      </c>
    </row>
    <row r="117" spans="1:18" s="20" customFormat="1" ht="21.95" customHeight="1" x14ac:dyDescent="0.2">
      <c r="A117" s="16" t="s">
        <v>205</v>
      </c>
      <c r="B117" s="17" t="s">
        <v>178</v>
      </c>
      <c r="C117" s="17" t="s">
        <v>74</v>
      </c>
      <c r="D117" s="23" t="s">
        <v>12</v>
      </c>
      <c r="E117" s="18">
        <v>780000</v>
      </c>
      <c r="F117" s="13">
        <f t="shared" si="32"/>
        <v>0</v>
      </c>
      <c r="G117" s="13"/>
      <c r="H117" s="19">
        <f t="shared" si="33"/>
        <v>780000</v>
      </c>
      <c r="I117" s="18">
        <v>0</v>
      </c>
      <c r="J117" s="13">
        <f t="shared" si="35"/>
        <v>0</v>
      </c>
      <c r="K117" s="13"/>
      <c r="L117" s="13"/>
      <c r="M117" s="13"/>
      <c r="N117" s="13"/>
      <c r="O117" s="19">
        <f t="shared" si="34"/>
        <v>0</v>
      </c>
      <c r="P117" s="18">
        <f t="shared" si="29"/>
        <v>780000</v>
      </c>
      <c r="Q117" s="13">
        <f t="shared" si="30"/>
        <v>0</v>
      </c>
      <c r="R117" s="19">
        <f t="shared" si="31"/>
        <v>780000</v>
      </c>
    </row>
    <row r="118" spans="1:18" s="20" customFormat="1" ht="33" customHeight="1" x14ac:dyDescent="0.2">
      <c r="A118" s="16" t="s">
        <v>257</v>
      </c>
      <c r="B118" s="17" t="s">
        <v>258</v>
      </c>
      <c r="C118" s="17" t="s">
        <v>74</v>
      </c>
      <c r="D118" s="23" t="s">
        <v>111</v>
      </c>
      <c r="E118" s="18">
        <v>1155000</v>
      </c>
      <c r="F118" s="13">
        <f t="shared" si="32"/>
        <v>0</v>
      </c>
      <c r="G118" s="13"/>
      <c r="H118" s="19">
        <f t="shared" si="33"/>
        <v>1155000</v>
      </c>
      <c r="I118" s="18">
        <v>0</v>
      </c>
      <c r="J118" s="13">
        <f t="shared" si="35"/>
        <v>0</v>
      </c>
      <c r="K118" s="13"/>
      <c r="L118" s="13"/>
      <c r="M118" s="13"/>
      <c r="N118" s="13"/>
      <c r="O118" s="19">
        <f t="shared" si="34"/>
        <v>0</v>
      </c>
      <c r="P118" s="18">
        <f t="shared" si="29"/>
        <v>1155000</v>
      </c>
      <c r="Q118" s="13">
        <f t="shared" si="30"/>
        <v>0</v>
      </c>
      <c r="R118" s="19">
        <f t="shared" si="31"/>
        <v>1155000</v>
      </c>
    </row>
    <row r="119" spans="1:18" s="20" customFormat="1" ht="33" customHeight="1" x14ac:dyDescent="0.2">
      <c r="A119" s="16" t="s">
        <v>259</v>
      </c>
      <c r="B119" s="17" t="s">
        <v>260</v>
      </c>
      <c r="C119" s="17" t="s">
        <v>74</v>
      </c>
      <c r="D119" s="23" t="s">
        <v>13</v>
      </c>
      <c r="E119" s="18">
        <v>100000</v>
      </c>
      <c r="F119" s="13">
        <f t="shared" si="32"/>
        <v>0</v>
      </c>
      <c r="G119" s="13"/>
      <c r="H119" s="19">
        <f t="shared" si="33"/>
        <v>100000</v>
      </c>
      <c r="I119" s="18">
        <v>0</v>
      </c>
      <c r="J119" s="13">
        <f t="shared" si="35"/>
        <v>0</v>
      </c>
      <c r="K119" s="13"/>
      <c r="L119" s="13"/>
      <c r="M119" s="13"/>
      <c r="N119" s="13"/>
      <c r="O119" s="19">
        <f t="shared" si="34"/>
        <v>0</v>
      </c>
      <c r="P119" s="18">
        <f t="shared" si="29"/>
        <v>100000</v>
      </c>
      <c r="Q119" s="13">
        <f t="shared" si="30"/>
        <v>0</v>
      </c>
      <c r="R119" s="19">
        <f t="shared" si="31"/>
        <v>100000</v>
      </c>
    </row>
    <row r="120" spans="1:18" s="20" customFormat="1" ht="33" customHeight="1" x14ac:dyDescent="0.2">
      <c r="A120" s="16" t="s">
        <v>261</v>
      </c>
      <c r="B120" s="17" t="s">
        <v>262</v>
      </c>
      <c r="C120" s="17" t="s">
        <v>74</v>
      </c>
      <c r="D120" s="23" t="s">
        <v>50</v>
      </c>
      <c r="E120" s="18">
        <v>20352000</v>
      </c>
      <c r="F120" s="13">
        <f t="shared" si="32"/>
        <v>0</v>
      </c>
      <c r="G120" s="13"/>
      <c r="H120" s="19">
        <f t="shared" si="33"/>
        <v>20352000</v>
      </c>
      <c r="I120" s="22">
        <v>0</v>
      </c>
      <c r="J120" s="13">
        <f t="shared" si="35"/>
        <v>0</v>
      </c>
      <c r="K120" s="13"/>
      <c r="L120" s="13"/>
      <c r="M120" s="13"/>
      <c r="N120" s="13"/>
      <c r="O120" s="19">
        <f t="shared" si="34"/>
        <v>0</v>
      </c>
      <c r="P120" s="18">
        <f t="shared" si="29"/>
        <v>20352000</v>
      </c>
      <c r="Q120" s="13">
        <f t="shared" si="30"/>
        <v>0</v>
      </c>
      <c r="R120" s="19">
        <f t="shared" si="31"/>
        <v>20352000</v>
      </c>
    </row>
    <row r="121" spans="1:18" s="20" customFormat="1" ht="21.95" customHeight="1" x14ac:dyDescent="0.2">
      <c r="A121" s="16" t="s">
        <v>206</v>
      </c>
      <c r="B121" s="17">
        <v>3041</v>
      </c>
      <c r="C121" s="17" t="s">
        <v>90</v>
      </c>
      <c r="D121" s="23" t="s">
        <v>14</v>
      </c>
      <c r="E121" s="18">
        <v>2349500</v>
      </c>
      <c r="F121" s="13">
        <f t="shared" si="32"/>
        <v>0</v>
      </c>
      <c r="G121" s="13"/>
      <c r="H121" s="19">
        <f t="shared" si="33"/>
        <v>2349500</v>
      </c>
      <c r="I121" s="22">
        <v>0</v>
      </c>
      <c r="J121" s="13">
        <f t="shared" si="35"/>
        <v>0</v>
      </c>
      <c r="K121" s="13"/>
      <c r="L121" s="13"/>
      <c r="M121" s="13"/>
      <c r="N121" s="13"/>
      <c r="O121" s="19">
        <f t="shared" si="34"/>
        <v>0</v>
      </c>
      <c r="P121" s="18">
        <f t="shared" si="29"/>
        <v>2349500</v>
      </c>
      <c r="Q121" s="13">
        <f t="shared" si="30"/>
        <v>0</v>
      </c>
      <c r="R121" s="19">
        <f t="shared" si="31"/>
        <v>2349500</v>
      </c>
    </row>
    <row r="122" spans="1:18" s="20" customFormat="1" ht="21.95" customHeight="1" x14ac:dyDescent="0.2">
      <c r="A122" s="16" t="s">
        <v>207</v>
      </c>
      <c r="B122" s="17" t="s">
        <v>399</v>
      </c>
      <c r="C122" s="17" t="s">
        <v>90</v>
      </c>
      <c r="D122" s="23" t="s">
        <v>19</v>
      </c>
      <c r="E122" s="18">
        <v>289200</v>
      </c>
      <c r="F122" s="13">
        <f t="shared" si="32"/>
        <v>0</v>
      </c>
      <c r="G122" s="13"/>
      <c r="H122" s="19">
        <f t="shared" si="33"/>
        <v>289200</v>
      </c>
      <c r="I122" s="22">
        <v>0</v>
      </c>
      <c r="J122" s="13">
        <f t="shared" si="35"/>
        <v>0</v>
      </c>
      <c r="K122" s="13"/>
      <c r="L122" s="13"/>
      <c r="M122" s="13"/>
      <c r="N122" s="13"/>
      <c r="O122" s="19">
        <f t="shared" si="34"/>
        <v>0</v>
      </c>
      <c r="P122" s="18">
        <f t="shared" si="29"/>
        <v>289200</v>
      </c>
      <c r="Q122" s="13">
        <f t="shared" si="30"/>
        <v>0</v>
      </c>
      <c r="R122" s="19">
        <f t="shared" si="31"/>
        <v>289200</v>
      </c>
    </row>
    <row r="123" spans="1:18" s="20" customFormat="1" ht="21.95" customHeight="1" x14ac:dyDescent="0.2">
      <c r="A123" s="16" t="s">
        <v>208</v>
      </c>
      <c r="B123" s="17">
        <v>3043</v>
      </c>
      <c r="C123" s="17" t="s">
        <v>90</v>
      </c>
      <c r="D123" s="23" t="s">
        <v>15</v>
      </c>
      <c r="E123" s="18">
        <v>135348300</v>
      </c>
      <c r="F123" s="13">
        <f t="shared" si="32"/>
        <v>0</v>
      </c>
      <c r="G123" s="13"/>
      <c r="H123" s="19">
        <f t="shared" si="33"/>
        <v>135348300</v>
      </c>
      <c r="I123" s="22">
        <v>0</v>
      </c>
      <c r="J123" s="13">
        <f t="shared" si="35"/>
        <v>0</v>
      </c>
      <c r="K123" s="13"/>
      <c r="L123" s="13"/>
      <c r="M123" s="13"/>
      <c r="N123" s="13"/>
      <c r="O123" s="19">
        <f t="shared" si="34"/>
        <v>0</v>
      </c>
      <c r="P123" s="18">
        <f t="shared" si="29"/>
        <v>135348300</v>
      </c>
      <c r="Q123" s="13">
        <f t="shared" si="30"/>
        <v>0</v>
      </c>
      <c r="R123" s="19">
        <f t="shared" si="31"/>
        <v>135348300</v>
      </c>
    </row>
    <row r="124" spans="1:18" s="20" customFormat="1" ht="21.95" customHeight="1" x14ac:dyDescent="0.2">
      <c r="A124" s="16" t="s">
        <v>209</v>
      </c>
      <c r="B124" s="17">
        <v>3044</v>
      </c>
      <c r="C124" s="17" t="s">
        <v>90</v>
      </c>
      <c r="D124" s="23" t="s">
        <v>16</v>
      </c>
      <c r="E124" s="18">
        <v>5438400</v>
      </c>
      <c r="F124" s="13">
        <f t="shared" si="32"/>
        <v>0</v>
      </c>
      <c r="G124" s="13"/>
      <c r="H124" s="19">
        <f t="shared" si="33"/>
        <v>5438400</v>
      </c>
      <c r="I124" s="22">
        <v>0</v>
      </c>
      <c r="J124" s="13">
        <f t="shared" si="35"/>
        <v>0</v>
      </c>
      <c r="K124" s="13"/>
      <c r="L124" s="13"/>
      <c r="M124" s="13"/>
      <c r="N124" s="13"/>
      <c r="O124" s="19">
        <f t="shared" si="34"/>
        <v>0</v>
      </c>
      <c r="P124" s="18">
        <f t="shared" si="29"/>
        <v>5438400</v>
      </c>
      <c r="Q124" s="13">
        <f t="shared" si="30"/>
        <v>0</v>
      </c>
      <c r="R124" s="19">
        <f t="shared" si="31"/>
        <v>5438400</v>
      </c>
    </row>
    <row r="125" spans="1:18" s="20" customFormat="1" ht="21.95" customHeight="1" x14ac:dyDescent="0.2">
      <c r="A125" s="16" t="s">
        <v>210</v>
      </c>
      <c r="B125" s="17">
        <v>3045</v>
      </c>
      <c r="C125" s="17" t="s">
        <v>90</v>
      </c>
      <c r="D125" s="23" t="s">
        <v>17</v>
      </c>
      <c r="E125" s="18">
        <v>21970500</v>
      </c>
      <c r="F125" s="13">
        <f t="shared" si="32"/>
        <v>0</v>
      </c>
      <c r="G125" s="13"/>
      <c r="H125" s="19">
        <f t="shared" si="33"/>
        <v>21970500</v>
      </c>
      <c r="I125" s="22">
        <v>0</v>
      </c>
      <c r="J125" s="13">
        <f t="shared" si="35"/>
        <v>0</v>
      </c>
      <c r="K125" s="13"/>
      <c r="L125" s="13"/>
      <c r="M125" s="13"/>
      <c r="N125" s="13"/>
      <c r="O125" s="19">
        <f t="shared" si="34"/>
        <v>0</v>
      </c>
      <c r="P125" s="18">
        <f t="shared" si="29"/>
        <v>21970500</v>
      </c>
      <c r="Q125" s="13">
        <f t="shared" si="30"/>
        <v>0</v>
      </c>
      <c r="R125" s="19">
        <f t="shared" si="31"/>
        <v>21970500</v>
      </c>
    </row>
    <row r="126" spans="1:18" s="20" customFormat="1" ht="21.95" customHeight="1" x14ac:dyDescent="0.2">
      <c r="A126" s="16" t="s">
        <v>211</v>
      </c>
      <c r="B126" s="17">
        <v>3046</v>
      </c>
      <c r="C126" s="17" t="s">
        <v>90</v>
      </c>
      <c r="D126" s="23" t="s">
        <v>18</v>
      </c>
      <c r="E126" s="18">
        <v>1565500</v>
      </c>
      <c r="F126" s="13">
        <f t="shared" si="32"/>
        <v>0</v>
      </c>
      <c r="G126" s="13"/>
      <c r="H126" s="19">
        <f t="shared" si="33"/>
        <v>1565500</v>
      </c>
      <c r="I126" s="22">
        <v>0</v>
      </c>
      <c r="J126" s="13">
        <f t="shared" si="35"/>
        <v>0</v>
      </c>
      <c r="K126" s="13"/>
      <c r="L126" s="13"/>
      <c r="M126" s="13"/>
      <c r="N126" s="13"/>
      <c r="O126" s="19">
        <f t="shared" si="34"/>
        <v>0</v>
      </c>
      <c r="P126" s="18">
        <f t="shared" si="29"/>
        <v>1565500</v>
      </c>
      <c r="Q126" s="13">
        <f t="shared" si="30"/>
        <v>0</v>
      </c>
      <c r="R126" s="19">
        <f t="shared" si="31"/>
        <v>1565500</v>
      </c>
    </row>
    <row r="127" spans="1:18" s="20" customFormat="1" ht="26.25" customHeight="1" x14ac:dyDescent="0.2">
      <c r="A127" s="16" t="s">
        <v>212</v>
      </c>
      <c r="B127" s="17" t="s">
        <v>400</v>
      </c>
      <c r="C127" s="17" t="s">
        <v>90</v>
      </c>
      <c r="D127" s="23" t="s">
        <v>20</v>
      </c>
      <c r="E127" s="18">
        <v>86180100</v>
      </c>
      <c r="F127" s="13">
        <f t="shared" si="32"/>
        <v>-653500</v>
      </c>
      <c r="G127" s="13">
        <v>-653500</v>
      </c>
      <c r="H127" s="19">
        <f t="shared" si="33"/>
        <v>85526600</v>
      </c>
      <c r="I127" s="22">
        <v>0</v>
      </c>
      <c r="J127" s="13">
        <f t="shared" si="35"/>
        <v>0</v>
      </c>
      <c r="K127" s="13"/>
      <c r="L127" s="13"/>
      <c r="M127" s="13"/>
      <c r="N127" s="13"/>
      <c r="O127" s="19">
        <f t="shared" si="34"/>
        <v>0</v>
      </c>
      <c r="P127" s="18">
        <f t="shared" si="29"/>
        <v>86180100</v>
      </c>
      <c r="Q127" s="13">
        <f t="shared" si="30"/>
        <v>-653500</v>
      </c>
      <c r="R127" s="19">
        <f t="shared" si="31"/>
        <v>85526600</v>
      </c>
    </row>
    <row r="128" spans="1:18" s="20" customFormat="1" ht="33" customHeight="1" x14ac:dyDescent="0.2">
      <c r="A128" s="16" t="s">
        <v>213</v>
      </c>
      <c r="B128" s="17">
        <v>3050</v>
      </c>
      <c r="C128" s="17" t="s">
        <v>74</v>
      </c>
      <c r="D128" s="23" t="s">
        <v>112</v>
      </c>
      <c r="E128" s="18">
        <v>225300</v>
      </c>
      <c r="F128" s="13">
        <f t="shared" si="32"/>
        <v>0</v>
      </c>
      <c r="G128" s="13"/>
      <c r="H128" s="19">
        <f t="shared" si="33"/>
        <v>225300</v>
      </c>
      <c r="I128" s="22">
        <v>0</v>
      </c>
      <c r="J128" s="13">
        <f t="shared" si="35"/>
        <v>0</v>
      </c>
      <c r="K128" s="13"/>
      <c r="L128" s="13"/>
      <c r="M128" s="13"/>
      <c r="N128" s="13"/>
      <c r="O128" s="19">
        <f t="shared" si="34"/>
        <v>0</v>
      </c>
      <c r="P128" s="18">
        <f t="shared" si="29"/>
        <v>225300</v>
      </c>
      <c r="Q128" s="13">
        <f t="shared" si="30"/>
        <v>0</v>
      </c>
      <c r="R128" s="19">
        <f t="shared" si="31"/>
        <v>225300</v>
      </c>
    </row>
    <row r="129" spans="1:18" s="20" customFormat="1" ht="33.75" customHeight="1" x14ac:dyDescent="0.2">
      <c r="A129" s="16" t="s">
        <v>401</v>
      </c>
      <c r="B129" s="17" t="s">
        <v>402</v>
      </c>
      <c r="C129" s="17" t="s">
        <v>103</v>
      </c>
      <c r="D129" s="23" t="s">
        <v>398</v>
      </c>
      <c r="E129" s="18">
        <v>54836800</v>
      </c>
      <c r="F129" s="13">
        <f t="shared" si="32"/>
        <v>0</v>
      </c>
      <c r="G129" s="13"/>
      <c r="H129" s="19">
        <f t="shared" si="33"/>
        <v>54836800</v>
      </c>
      <c r="I129" s="22">
        <v>0</v>
      </c>
      <c r="J129" s="13">
        <f t="shared" ref="J129:J139" si="36">K129+L129</f>
        <v>0</v>
      </c>
      <c r="K129" s="13"/>
      <c r="L129" s="13"/>
      <c r="M129" s="13"/>
      <c r="N129" s="13"/>
      <c r="O129" s="19">
        <f t="shared" si="34"/>
        <v>0</v>
      </c>
      <c r="P129" s="18">
        <f t="shared" si="29"/>
        <v>54836800</v>
      </c>
      <c r="Q129" s="13">
        <f t="shared" si="30"/>
        <v>0</v>
      </c>
      <c r="R129" s="19">
        <f t="shared" si="31"/>
        <v>54836800</v>
      </c>
    </row>
    <row r="130" spans="1:18" s="20" customFormat="1" ht="51" customHeight="1" x14ac:dyDescent="0.2">
      <c r="A130" s="41">
        <v>813082</v>
      </c>
      <c r="B130" s="43">
        <v>3082</v>
      </c>
      <c r="C130" s="43">
        <v>1010</v>
      </c>
      <c r="D130" s="44" t="s">
        <v>451</v>
      </c>
      <c r="E130" s="45">
        <v>12149400</v>
      </c>
      <c r="F130" s="13">
        <f t="shared" si="32"/>
        <v>0</v>
      </c>
      <c r="G130" s="46"/>
      <c r="H130" s="19">
        <f t="shared" si="33"/>
        <v>12149400</v>
      </c>
      <c r="I130" s="22">
        <v>0</v>
      </c>
      <c r="J130" s="13">
        <f t="shared" si="36"/>
        <v>0</v>
      </c>
      <c r="K130" s="13"/>
      <c r="L130" s="13"/>
      <c r="M130" s="13"/>
      <c r="N130" s="13"/>
      <c r="O130" s="19">
        <f t="shared" si="34"/>
        <v>0</v>
      </c>
      <c r="P130" s="18">
        <f t="shared" si="29"/>
        <v>12149400</v>
      </c>
      <c r="Q130" s="13">
        <f t="shared" si="30"/>
        <v>0</v>
      </c>
      <c r="R130" s="19">
        <f t="shared" si="31"/>
        <v>12149400</v>
      </c>
    </row>
    <row r="131" spans="1:18" s="20" customFormat="1" ht="48.75" customHeight="1" x14ac:dyDescent="0.2">
      <c r="A131" s="16" t="s">
        <v>403</v>
      </c>
      <c r="B131" s="17" t="s">
        <v>404</v>
      </c>
      <c r="C131" s="17" t="s">
        <v>103</v>
      </c>
      <c r="D131" s="23" t="s">
        <v>452</v>
      </c>
      <c r="E131" s="18">
        <v>6726300</v>
      </c>
      <c r="F131" s="13">
        <f t="shared" si="32"/>
        <v>0</v>
      </c>
      <c r="G131" s="13"/>
      <c r="H131" s="19">
        <f t="shared" si="33"/>
        <v>6726300</v>
      </c>
      <c r="I131" s="22">
        <v>0</v>
      </c>
      <c r="J131" s="13">
        <f t="shared" si="36"/>
        <v>0</v>
      </c>
      <c r="K131" s="13"/>
      <c r="L131" s="13"/>
      <c r="M131" s="13"/>
      <c r="N131" s="13"/>
      <c r="O131" s="19">
        <f t="shared" si="34"/>
        <v>0</v>
      </c>
      <c r="P131" s="18">
        <f t="shared" si="29"/>
        <v>6726300</v>
      </c>
      <c r="Q131" s="13">
        <f t="shared" si="30"/>
        <v>0</v>
      </c>
      <c r="R131" s="19">
        <f t="shared" si="31"/>
        <v>6726300</v>
      </c>
    </row>
    <row r="132" spans="1:18" s="20" customFormat="1" ht="48.75" customHeight="1" x14ac:dyDescent="0.2">
      <c r="A132" s="16" t="s">
        <v>530</v>
      </c>
      <c r="B132" s="17" t="s">
        <v>526</v>
      </c>
      <c r="C132" s="17" t="s">
        <v>103</v>
      </c>
      <c r="D132" s="23" t="s">
        <v>527</v>
      </c>
      <c r="E132" s="18"/>
      <c r="F132" s="13">
        <f t="shared" si="32"/>
        <v>653500</v>
      </c>
      <c r="G132" s="13">
        <v>653500</v>
      </c>
      <c r="H132" s="19">
        <f t="shared" si="33"/>
        <v>653500</v>
      </c>
      <c r="I132" s="22"/>
      <c r="J132" s="13"/>
      <c r="K132" s="13"/>
      <c r="L132" s="13"/>
      <c r="M132" s="13"/>
      <c r="N132" s="13"/>
      <c r="O132" s="19"/>
      <c r="P132" s="18">
        <f t="shared" si="29"/>
        <v>0</v>
      </c>
      <c r="Q132" s="13">
        <f t="shared" si="30"/>
        <v>653500</v>
      </c>
      <c r="R132" s="19">
        <f t="shared" si="31"/>
        <v>653500</v>
      </c>
    </row>
    <row r="133" spans="1:18" s="20" customFormat="1" ht="47.25" customHeight="1" x14ac:dyDescent="0.2">
      <c r="A133" s="16" t="s">
        <v>405</v>
      </c>
      <c r="B133" s="17" t="s">
        <v>406</v>
      </c>
      <c r="C133" s="17" t="s">
        <v>103</v>
      </c>
      <c r="D133" s="23" t="s">
        <v>453</v>
      </c>
      <c r="E133" s="18">
        <v>46000</v>
      </c>
      <c r="F133" s="13">
        <f t="shared" si="32"/>
        <v>0</v>
      </c>
      <c r="G133" s="13"/>
      <c r="H133" s="19">
        <f t="shared" si="33"/>
        <v>46000</v>
      </c>
      <c r="I133" s="22">
        <v>0</v>
      </c>
      <c r="J133" s="13">
        <f t="shared" si="36"/>
        <v>0</v>
      </c>
      <c r="K133" s="13"/>
      <c r="L133" s="13"/>
      <c r="M133" s="13"/>
      <c r="N133" s="13"/>
      <c r="O133" s="19">
        <f t="shared" si="34"/>
        <v>0</v>
      </c>
      <c r="P133" s="18">
        <f t="shared" si="29"/>
        <v>46000</v>
      </c>
      <c r="Q133" s="13">
        <f t="shared" si="30"/>
        <v>0</v>
      </c>
      <c r="R133" s="19">
        <f t="shared" si="31"/>
        <v>46000</v>
      </c>
    </row>
    <row r="134" spans="1:18" s="20" customFormat="1" ht="30" customHeight="1" x14ac:dyDescent="0.2">
      <c r="A134" s="16" t="s">
        <v>214</v>
      </c>
      <c r="B134" s="17">
        <v>3090</v>
      </c>
      <c r="C134" s="17" t="s">
        <v>101</v>
      </c>
      <c r="D134" s="23" t="s">
        <v>454</v>
      </c>
      <c r="E134" s="18">
        <v>206300</v>
      </c>
      <c r="F134" s="13">
        <f t="shared" si="32"/>
        <v>0</v>
      </c>
      <c r="G134" s="13"/>
      <c r="H134" s="19">
        <f t="shared" si="33"/>
        <v>206300</v>
      </c>
      <c r="I134" s="22">
        <v>0</v>
      </c>
      <c r="J134" s="13">
        <f t="shared" si="36"/>
        <v>0</v>
      </c>
      <c r="K134" s="13"/>
      <c r="L134" s="13"/>
      <c r="M134" s="13"/>
      <c r="N134" s="13"/>
      <c r="O134" s="19">
        <f t="shared" si="34"/>
        <v>0</v>
      </c>
      <c r="P134" s="18">
        <f t="shared" si="29"/>
        <v>206300</v>
      </c>
      <c r="Q134" s="13">
        <f t="shared" si="30"/>
        <v>0</v>
      </c>
      <c r="R134" s="19">
        <f t="shared" si="31"/>
        <v>206300</v>
      </c>
    </row>
    <row r="135" spans="1:18" s="20" customFormat="1" ht="51.75" customHeight="1" x14ac:dyDescent="0.2">
      <c r="A135" s="16" t="s">
        <v>240</v>
      </c>
      <c r="B135" s="17" t="s">
        <v>155</v>
      </c>
      <c r="C135" s="17" t="s">
        <v>90</v>
      </c>
      <c r="D135" s="82" t="s">
        <v>156</v>
      </c>
      <c r="E135" s="18"/>
      <c r="F135" s="13">
        <f t="shared" si="32"/>
        <v>95760</v>
      </c>
      <c r="G135" s="13">
        <v>95760</v>
      </c>
      <c r="H135" s="19">
        <f t="shared" si="33"/>
        <v>95760</v>
      </c>
      <c r="I135" s="22"/>
      <c r="J135" s="13"/>
      <c r="K135" s="13"/>
      <c r="L135" s="13"/>
      <c r="M135" s="13"/>
      <c r="N135" s="13"/>
      <c r="O135" s="19"/>
      <c r="P135" s="18"/>
      <c r="Q135" s="13"/>
      <c r="R135" s="19"/>
    </row>
    <row r="136" spans="1:18" s="20" customFormat="1" ht="62.25" customHeight="1" x14ac:dyDescent="0.2">
      <c r="A136" s="16" t="s">
        <v>421</v>
      </c>
      <c r="B136" s="17" t="s">
        <v>422</v>
      </c>
      <c r="C136" s="17" t="s">
        <v>103</v>
      </c>
      <c r="D136" s="23" t="s">
        <v>423</v>
      </c>
      <c r="E136" s="18">
        <v>1870200</v>
      </c>
      <c r="F136" s="13">
        <f t="shared" si="32"/>
        <v>0</v>
      </c>
      <c r="G136" s="37"/>
      <c r="H136" s="19">
        <f t="shared" si="33"/>
        <v>1870200</v>
      </c>
      <c r="I136" s="22">
        <v>0</v>
      </c>
      <c r="J136" s="13">
        <f t="shared" si="36"/>
        <v>0</v>
      </c>
      <c r="K136" s="13"/>
      <c r="L136" s="13"/>
      <c r="M136" s="13"/>
      <c r="N136" s="13"/>
      <c r="O136" s="19">
        <f t="shared" si="34"/>
        <v>0</v>
      </c>
      <c r="P136" s="18">
        <f t="shared" si="29"/>
        <v>1870200</v>
      </c>
      <c r="Q136" s="13">
        <f t="shared" si="30"/>
        <v>0</v>
      </c>
      <c r="R136" s="19">
        <f t="shared" si="31"/>
        <v>1870200</v>
      </c>
    </row>
    <row r="137" spans="1:18" s="20" customFormat="1" ht="57.75" customHeight="1" x14ac:dyDescent="0.2">
      <c r="A137" s="16" t="s">
        <v>407</v>
      </c>
      <c r="B137" s="17" t="s">
        <v>408</v>
      </c>
      <c r="C137" s="17" t="s">
        <v>102</v>
      </c>
      <c r="D137" s="23" t="s">
        <v>396</v>
      </c>
      <c r="E137" s="18">
        <v>8300000</v>
      </c>
      <c r="F137" s="13">
        <f t="shared" si="32"/>
        <v>0</v>
      </c>
      <c r="G137" s="13"/>
      <c r="H137" s="19">
        <f t="shared" si="33"/>
        <v>8300000</v>
      </c>
      <c r="I137" s="22">
        <v>0</v>
      </c>
      <c r="J137" s="13">
        <f t="shared" si="36"/>
        <v>0</v>
      </c>
      <c r="K137" s="13"/>
      <c r="L137" s="13"/>
      <c r="M137" s="13"/>
      <c r="N137" s="13"/>
      <c r="O137" s="19">
        <f t="shared" si="34"/>
        <v>0</v>
      </c>
      <c r="P137" s="18">
        <f t="shared" si="29"/>
        <v>8300000</v>
      </c>
      <c r="Q137" s="13">
        <f t="shared" si="30"/>
        <v>0</v>
      </c>
      <c r="R137" s="19">
        <f t="shared" si="31"/>
        <v>8300000</v>
      </c>
    </row>
    <row r="138" spans="1:18" s="20" customFormat="1" ht="42.75" customHeight="1" x14ac:dyDescent="0.2">
      <c r="A138" s="16" t="s">
        <v>409</v>
      </c>
      <c r="B138" s="17" t="s">
        <v>410</v>
      </c>
      <c r="C138" s="17" t="s">
        <v>101</v>
      </c>
      <c r="D138" s="23" t="s">
        <v>455</v>
      </c>
      <c r="E138" s="18">
        <v>250000</v>
      </c>
      <c r="F138" s="13">
        <f t="shared" si="32"/>
        <v>0</v>
      </c>
      <c r="G138" s="13"/>
      <c r="H138" s="19">
        <f t="shared" si="33"/>
        <v>250000</v>
      </c>
      <c r="I138" s="22">
        <v>0</v>
      </c>
      <c r="J138" s="13">
        <f t="shared" si="36"/>
        <v>0</v>
      </c>
      <c r="K138" s="13"/>
      <c r="L138" s="13"/>
      <c r="M138" s="13"/>
      <c r="N138" s="13"/>
      <c r="O138" s="19">
        <f t="shared" si="34"/>
        <v>0</v>
      </c>
      <c r="P138" s="18">
        <f t="shared" si="29"/>
        <v>250000</v>
      </c>
      <c r="Q138" s="13">
        <f t="shared" si="30"/>
        <v>0</v>
      </c>
      <c r="R138" s="19">
        <f t="shared" si="31"/>
        <v>250000</v>
      </c>
    </row>
    <row r="139" spans="1:18" s="20" customFormat="1" ht="21.95" customHeight="1" x14ac:dyDescent="0.2">
      <c r="A139" s="16" t="s">
        <v>414</v>
      </c>
      <c r="B139" s="17" t="s">
        <v>415</v>
      </c>
      <c r="C139" s="17"/>
      <c r="D139" s="23" t="s">
        <v>456</v>
      </c>
      <c r="E139" s="47">
        <f>E140+E145</f>
        <v>11051720</v>
      </c>
      <c r="F139" s="13">
        <f>F140+F145</f>
        <v>513300</v>
      </c>
      <c r="G139" s="13">
        <f>G140+G145</f>
        <v>513300</v>
      </c>
      <c r="H139" s="19">
        <f>E139+F139</f>
        <v>11565020</v>
      </c>
      <c r="I139" s="22">
        <v>0</v>
      </c>
      <c r="J139" s="13">
        <f t="shared" si="36"/>
        <v>0</v>
      </c>
      <c r="K139" s="13"/>
      <c r="L139" s="13"/>
      <c r="M139" s="13"/>
      <c r="N139" s="13"/>
      <c r="O139" s="19">
        <f t="shared" si="34"/>
        <v>0</v>
      </c>
      <c r="P139" s="18">
        <f>E139+I139</f>
        <v>11051720</v>
      </c>
      <c r="Q139" s="13">
        <f t="shared" si="30"/>
        <v>513300</v>
      </c>
      <c r="R139" s="19">
        <f t="shared" si="31"/>
        <v>11565020</v>
      </c>
    </row>
    <row r="140" spans="1:18" s="20" customFormat="1" ht="29.25" customHeight="1" x14ac:dyDescent="0.2">
      <c r="A140" s="16" t="s">
        <v>411</v>
      </c>
      <c r="B140" s="17" t="s">
        <v>412</v>
      </c>
      <c r="C140" s="17" t="s">
        <v>105</v>
      </c>
      <c r="D140" s="23" t="s">
        <v>413</v>
      </c>
      <c r="E140" s="18">
        <v>2364700</v>
      </c>
      <c r="F140" s="13">
        <f t="shared" si="32"/>
        <v>0</v>
      </c>
      <c r="G140" s="13"/>
      <c r="H140" s="19">
        <f t="shared" si="33"/>
        <v>2364700</v>
      </c>
      <c r="I140" s="22">
        <v>0</v>
      </c>
      <c r="J140" s="13">
        <f t="shared" ref="J140:J148" si="37">K140+L140</f>
        <v>0</v>
      </c>
      <c r="K140" s="13"/>
      <c r="L140" s="13"/>
      <c r="M140" s="13"/>
      <c r="N140" s="13"/>
      <c r="O140" s="19">
        <f t="shared" si="34"/>
        <v>0</v>
      </c>
      <c r="P140" s="18">
        <f t="shared" si="29"/>
        <v>2364700</v>
      </c>
      <c r="Q140" s="13">
        <f t="shared" si="30"/>
        <v>0</v>
      </c>
      <c r="R140" s="19">
        <f t="shared" si="31"/>
        <v>2364700</v>
      </c>
    </row>
    <row r="141" spans="1:18" s="20" customFormat="1" ht="15.75" customHeight="1" x14ac:dyDescent="0.2">
      <c r="A141" s="16"/>
      <c r="B141" s="17"/>
      <c r="C141" s="17"/>
      <c r="D141" s="27" t="s">
        <v>419</v>
      </c>
      <c r="E141" s="18">
        <v>0</v>
      </c>
      <c r="F141" s="13">
        <f t="shared" si="32"/>
        <v>0</v>
      </c>
      <c r="G141" s="13"/>
      <c r="H141" s="19">
        <f t="shared" si="33"/>
        <v>0</v>
      </c>
      <c r="I141" s="22">
        <v>0</v>
      </c>
      <c r="J141" s="13">
        <f t="shared" si="37"/>
        <v>0</v>
      </c>
      <c r="K141" s="13"/>
      <c r="L141" s="13"/>
      <c r="M141" s="13"/>
      <c r="N141" s="13"/>
      <c r="O141" s="19">
        <f t="shared" si="34"/>
        <v>0</v>
      </c>
      <c r="P141" s="18"/>
      <c r="Q141" s="13"/>
      <c r="R141" s="19">
        <f t="shared" si="31"/>
        <v>0</v>
      </c>
    </row>
    <row r="142" spans="1:18" s="20" customFormat="1" ht="15.75" customHeight="1" x14ac:dyDescent="0.2">
      <c r="A142" s="16"/>
      <c r="B142" s="17"/>
      <c r="C142" s="17"/>
      <c r="D142" s="27" t="s">
        <v>334</v>
      </c>
      <c r="E142" s="18">
        <v>450000</v>
      </c>
      <c r="F142" s="13">
        <f t="shared" si="32"/>
        <v>0</v>
      </c>
      <c r="G142" s="13"/>
      <c r="H142" s="19">
        <f t="shared" si="33"/>
        <v>450000</v>
      </c>
      <c r="I142" s="22">
        <v>0</v>
      </c>
      <c r="J142" s="13">
        <f t="shared" si="37"/>
        <v>0</v>
      </c>
      <c r="K142" s="13"/>
      <c r="L142" s="13"/>
      <c r="M142" s="13"/>
      <c r="N142" s="13"/>
      <c r="O142" s="19">
        <f t="shared" si="34"/>
        <v>0</v>
      </c>
      <c r="P142" s="18">
        <f t="shared" si="29"/>
        <v>450000</v>
      </c>
      <c r="Q142" s="13">
        <f t="shared" si="30"/>
        <v>0</v>
      </c>
      <c r="R142" s="19">
        <f t="shared" si="31"/>
        <v>450000</v>
      </c>
    </row>
    <row r="143" spans="1:18" s="20" customFormat="1" ht="21.75" customHeight="1" x14ac:dyDescent="0.2">
      <c r="A143" s="16"/>
      <c r="B143" s="17"/>
      <c r="C143" s="17"/>
      <c r="D143" s="27" t="s">
        <v>335</v>
      </c>
      <c r="E143" s="18">
        <v>795200</v>
      </c>
      <c r="F143" s="13">
        <f t="shared" si="32"/>
        <v>0</v>
      </c>
      <c r="G143" s="13"/>
      <c r="H143" s="19">
        <f t="shared" si="33"/>
        <v>795200</v>
      </c>
      <c r="I143" s="22">
        <v>0</v>
      </c>
      <c r="J143" s="13">
        <f t="shared" si="37"/>
        <v>0</v>
      </c>
      <c r="K143" s="13"/>
      <c r="L143" s="13"/>
      <c r="M143" s="13"/>
      <c r="N143" s="13"/>
      <c r="O143" s="19">
        <f t="shared" si="34"/>
        <v>0</v>
      </c>
      <c r="P143" s="18">
        <f t="shared" si="29"/>
        <v>795200</v>
      </c>
      <c r="Q143" s="13">
        <f t="shared" si="30"/>
        <v>0</v>
      </c>
      <c r="R143" s="19">
        <f t="shared" si="31"/>
        <v>795200</v>
      </c>
    </row>
    <row r="144" spans="1:18" s="20" customFormat="1" ht="18" customHeight="1" x14ac:dyDescent="0.2">
      <c r="A144" s="16"/>
      <c r="B144" s="17"/>
      <c r="C144" s="17"/>
      <c r="D144" s="27" t="s">
        <v>336</v>
      </c>
      <c r="E144" s="18">
        <v>1119500</v>
      </c>
      <c r="F144" s="13">
        <f t="shared" si="32"/>
        <v>0</v>
      </c>
      <c r="G144" s="13"/>
      <c r="H144" s="19">
        <f t="shared" si="33"/>
        <v>1119500</v>
      </c>
      <c r="I144" s="22">
        <v>0</v>
      </c>
      <c r="J144" s="13">
        <f t="shared" si="37"/>
        <v>0</v>
      </c>
      <c r="K144" s="13"/>
      <c r="L144" s="13"/>
      <c r="M144" s="13"/>
      <c r="N144" s="13"/>
      <c r="O144" s="19">
        <f t="shared" si="34"/>
        <v>0</v>
      </c>
      <c r="P144" s="18">
        <f t="shared" si="29"/>
        <v>1119500</v>
      </c>
      <c r="Q144" s="13">
        <f t="shared" si="30"/>
        <v>0</v>
      </c>
      <c r="R144" s="19">
        <f t="shared" si="31"/>
        <v>1119500</v>
      </c>
    </row>
    <row r="145" spans="1:19" s="20" customFormat="1" ht="39.75" customHeight="1" x14ac:dyDescent="0.2">
      <c r="A145" s="16" t="s">
        <v>416</v>
      </c>
      <c r="B145" s="17" t="s">
        <v>417</v>
      </c>
      <c r="C145" s="17" t="s">
        <v>105</v>
      </c>
      <c r="D145" s="23" t="s">
        <v>418</v>
      </c>
      <c r="E145" s="18">
        <f>8657020+30000</f>
        <v>8687020</v>
      </c>
      <c r="F145" s="13">
        <f t="shared" si="32"/>
        <v>513300</v>
      </c>
      <c r="G145" s="13">
        <f>513300</f>
        <v>513300</v>
      </c>
      <c r="H145" s="19">
        <f>E145+F145</f>
        <v>9200320</v>
      </c>
      <c r="I145" s="22">
        <v>0</v>
      </c>
      <c r="J145" s="13">
        <f t="shared" si="37"/>
        <v>0</v>
      </c>
      <c r="K145" s="13"/>
      <c r="L145" s="13"/>
      <c r="M145" s="13"/>
      <c r="N145" s="13"/>
      <c r="O145" s="19">
        <f t="shared" si="34"/>
        <v>0</v>
      </c>
      <c r="P145" s="18">
        <f t="shared" si="29"/>
        <v>8687020</v>
      </c>
      <c r="Q145" s="13">
        <f t="shared" si="30"/>
        <v>513300</v>
      </c>
      <c r="R145" s="19">
        <f t="shared" si="31"/>
        <v>9200320</v>
      </c>
    </row>
    <row r="146" spans="1:19" s="20" customFormat="1" ht="18" customHeight="1" x14ac:dyDescent="0.2">
      <c r="A146" s="16"/>
      <c r="B146" s="17"/>
      <c r="C146" s="17"/>
      <c r="D146" s="27" t="s">
        <v>419</v>
      </c>
      <c r="E146" s="18">
        <v>0</v>
      </c>
      <c r="F146" s="13"/>
      <c r="G146" s="13"/>
      <c r="H146" s="19">
        <f t="shared" si="33"/>
        <v>0</v>
      </c>
      <c r="I146" s="22">
        <v>0</v>
      </c>
      <c r="J146" s="13">
        <f t="shared" si="37"/>
        <v>0</v>
      </c>
      <c r="K146" s="13"/>
      <c r="L146" s="13"/>
      <c r="M146" s="13"/>
      <c r="N146" s="13"/>
      <c r="O146" s="19">
        <f t="shared" si="34"/>
        <v>0</v>
      </c>
      <c r="P146" s="18"/>
      <c r="Q146" s="13"/>
      <c r="R146" s="19"/>
    </row>
    <row r="147" spans="1:19" s="20" customFormat="1" ht="18" customHeight="1" x14ac:dyDescent="0.2">
      <c r="A147" s="16"/>
      <c r="B147" s="17"/>
      <c r="C147" s="17"/>
      <c r="D147" s="27" t="s">
        <v>420</v>
      </c>
      <c r="E147" s="18">
        <v>7755000</v>
      </c>
      <c r="F147" s="13">
        <f t="shared" si="32"/>
        <v>0</v>
      </c>
      <c r="G147" s="13"/>
      <c r="H147" s="19">
        <f t="shared" si="33"/>
        <v>7755000</v>
      </c>
      <c r="I147" s="22">
        <v>0</v>
      </c>
      <c r="J147" s="13">
        <f t="shared" si="37"/>
        <v>0</v>
      </c>
      <c r="K147" s="13"/>
      <c r="L147" s="13"/>
      <c r="M147" s="13"/>
      <c r="N147" s="13"/>
      <c r="O147" s="19">
        <f t="shared" si="34"/>
        <v>0</v>
      </c>
      <c r="P147" s="18">
        <f t="shared" si="29"/>
        <v>7755000</v>
      </c>
      <c r="Q147" s="13">
        <f t="shared" si="30"/>
        <v>0</v>
      </c>
      <c r="R147" s="19">
        <f t="shared" si="31"/>
        <v>7755000</v>
      </c>
    </row>
    <row r="148" spans="1:19" s="20" customFormat="1" ht="18" customHeight="1" x14ac:dyDescent="0.2">
      <c r="A148" s="16"/>
      <c r="B148" s="17"/>
      <c r="C148" s="17"/>
      <c r="D148" s="27" t="s">
        <v>333</v>
      </c>
      <c r="E148" s="18">
        <v>458000</v>
      </c>
      <c r="F148" s="13">
        <f t="shared" si="32"/>
        <v>0</v>
      </c>
      <c r="G148" s="13"/>
      <c r="H148" s="19">
        <f t="shared" si="33"/>
        <v>458000</v>
      </c>
      <c r="I148" s="22">
        <v>0</v>
      </c>
      <c r="J148" s="13">
        <f t="shared" si="37"/>
        <v>0</v>
      </c>
      <c r="K148" s="13"/>
      <c r="L148" s="13"/>
      <c r="M148" s="13"/>
      <c r="N148" s="13"/>
      <c r="O148" s="19">
        <f t="shared" si="34"/>
        <v>0</v>
      </c>
      <c r="P148" s="18">
        <f t="shared" si="29"/>
        <v>458000</v>
      </c>
      <c r="Q148" s="13">
        <f t="shared" si="30"/>
        <v>0</v>
      </c>
      <c r="R148" s="19">
        <f t="shared" si="31"/>
        <v>458000</v>
      </c>
    </row>
    <row r="149" spans="1:19" s="20" customFormat="1" ht="56.1" customHeight="1" x14ac:dyDescent="0.2">
      <c r="A149" s="16" t="s">
        <v>217</v>
      </c>
      <c r="B149" s="17">
        <v>3104</v>
      </c>
      <c r="C149" s="17" t="s">
        <v>104</v>
      </c>
      <c r="D149" s="23" t="s">
        <v>21</v>
      </c>
      <c r="E149" s="39">
        <v>4801800</v>
      </c>
      <c r="F149" s="13">
        <f t="shared" si="32"/>
        <v>0</v>
      </c>
      <c r="G149" s="37"/>
      <c r="H149" s="19">
        <f t="shared" si="33"/>
        <v>4801800</v>
      </c>
      <c r="I149" s="22">
        <v>0</v>
      </c>
      <c r="J149" s="13">
        <f>K149+L149</f>
        <v>0</v>
      </c>
      <c r="K149" s="13"/>
      <c r="L149" s="13"/>
      <c r="M149" s="13"/>
      <c r="N149" s="13"/>
      <c r="O149" s="19">
        <f t="shared" si="34"/>
        <v>0</v>
      </c>
      <c r="P149" s="18">
        <f t="shared" si="29"/>
        <v>4801800</v>
      </c>
      <c r="Q149" s="13">
        <f t="shared" si="30"/>
        <v>0</v>
      </c>
      <c r="R149" s="19">
        <f t="shared" si="31"/>
        <v>4801800</v>
      </c>
    </row>
    <row r="150" spans="1:19" s="20" customFormat="1" ht="21.95" customHeight="1" x14ac:dyDescent="0.2">
      <c r="A150" s="16" t="s">
        <v>218</v>
      </c>
      <c r="B150" s="17" t="s">
        <v>179</v>
      </c>
      <c r="C150" s="17" t="s">
        <v>90</v>
      </c>
      <c r="D150" s="23" t="s">
        <v>180</v>
      </c>
      <c r="E150" s="39">
        <v>2235400</v>
      </c>
      <c r="F150" s="13">
        <f t="shared" si="32"/>
        <v>0</v>
      </c>
      <c r="G150" s="37"/>
      <c r="H150" s="19">
        <f t="shared" si="33"/>
        <v>2235400</v>
      </c>
      <c r="I150" s="22">
        <v>0</v>
      </c>
      <c r="J150" s="13">
        <f>K150+L150</f>
        <v>0</v>
      </c>
      <c r="K150" s="13"/>
      <c r="L150" s="13"/>
      <c r="M150" s="13"/>
      <c r="N150" s="13"/>
      <c r="O150" s="19">
        <f t="shared" si="34"/>
        <v>0</v>
      </c>
      <c r="P150" s="18">
        <f t="shared" si="29"/>
        <v>2235400</v>
      </c>
      <c r="Q150" s="13">
        <f t="shared" si="30"/>
        <v>0</v>
      </c>
      <c r="R150" s="19">
        <f t="shared" si="31"/>
        <v>2235400</v>
      </c>
    </row>
    <row r="151" spans="1:19" s="20" customFormat="1" ht="24.75" customHeight="1" x14ac:dyDescent="0.2">
      <c r="A151" s="16"/>
      <c r="B151" s="17"/>
      <c r="C151" s="17"/>
      <c r="D151" s="27" t="s">
        <v>337</v>
      </c>
      <c r="E151" s="39">
        <v>311800</v>
      </c>
      <c r="F151" s="13">
        <f t="shared" si="32"/>
        <v>0</v>
      </c>
      <c r="G151" s="37"/>
      <c r="H151" s="19">
        <f t="shared" si="33"/>
        <v>311800</v>
      </c>
      <c r="I151" s="22"/>
      <c r="J151" s="13"/>
      <c r="K151" s="13"/>
      <c r="L151" s="13"/>
      <c r="M151" s="13"/>
      <c r="N151" s="13"/>
      <c r="O151" s="19"/>
      <c r="P151" s="18">
        <f t="shared" si="29"/>
        <v>311800</v>
      </c>
      <c r="Q151" s="13">
        <f t="shared" si="30"/>
        <v>0</v>
      </c>
      <c r="R151" s="19">
        <f t="shared" si="31"/>
        <v>311800</v>
      </c>
    </row>
    <row r="152" spans="1:19" s="20" customFormat="1" ht="79.5" customHeight="1" x14ac:dyDescent="0.2">
      <c r="A152" s="16" t="s">
        <v>438</v>
      </c>
      <c r="B152" s="17" t="s">
        <v>434</v>
      </c>
      <c r="C152" s="17" t="s">
        <v>77</v>
      </c>
      <c r="D152" s="23" t="s">
        <v>435</v>
      </c>
      <c r="E152" s="18"/>
      <c r="F152" s="13"/>
      <c r="G152" s="13"/>
      <c r="H152" s="19"/>
      <c r="I152" s="18">
        <v>500000</v>
      </c>
      <c r="J152" s="13">
        <f>K152+L152</f>
        <v>0</v>
      </c>
      <c r="K152" s="13"/>
      <c r="L152" s="13"/>
      <c r="M152" s="13"/>
      <c r="N152" s="13"/>
      <c r="O152" s="19">
        <f t="shared" si="34"/>
        <v>500000</v>
      </c>
      <c r="P152" s="18">
        <f t="shared" si="29"/>
        <v>500000</v>
      </c>
      <c r="Q152" s="13">
        <f t="shared" si="30"/>
        <v>0</v>
      </c>
      <c r="R152" s="19">
        <f t="shared" si="31"/>
        <v>500000</v>
      </c>
    </row>
    <row r="153" spans="1:19" s="20" customFormat="1" ht="30" hidden="1" customHeight="1" x14ac:dyDescent="0.2">
      <c r="A153" s="16">
        <v>1516324</v>
      </c>
      <c r="B153" s="17" t="s">
        <v>108</v>
      </c>
      <c r="C153" s="17" t="s">
        <v>102</v>
      </c>
      <c r="D153" s="23" t="s">
        <v>109</v>
      </c>
      <c r="E153" s="18"/>
      <c r="F153" s="13"/>
      <c r="G153" s="13"/>
      <c r="H153" s="48"/>
      <c r="I153" s="22"/>
      <c r="J153" s="13">
        <f>K153+L153</f>
        <v>0</v>
      </c>
      <c r="K153" s="13"/>
      <c r="L153" s="13"/>
      <c r="M153" s="13"/>
      <c r="N153" s="13"/>
      <c r="O153" s="19"/>
      <c r="P153" s="18">
        <f t="shared" si="29"/>
        <v>0</v>
      </c>
      <c r="Q153" s="49"/>
      <c r="R153" s="50"/>
      <c r="S153" s="31"/>
    </row>
    <row r="154" spans="1:19" s="9" customFormat="1" ht="21.95" customHeight="1" x14ac:dyDescent="0.2">
      <c r="A154" s="29" t="s">
        <v>190</v>
      </c>
      <c r="B154" s="11"/>
      <c r="C154" s="11"/>
      <c r="D154" s="95" t="s">
        <v>22</v>
      </c>
      <c r="E154" s="96">
        <v>2597780</v>
      </c>
      <c r="F154" s="100">
        <f>G154</f>
        <v>196560</v>
      </c>
      <c r="G154" s="97">
        <f>G156+G158+G157</f>
        <v>196560</v>
      </c>
      <c r="H154" s="101">
        <f>H156+H158+H157</f>
        <v>2794340</v>
      </c>
      <c r="I154" s="96">
        <v>202220</v>
      </c>
      <c r="J154" s="97">
        <f t="shared" ref="J154:O154" si="38">J156+J158</f>
        <v>0</v>
      </c>
      <c r="K154" s="97">
        <f t="shared" si="38"/>
        <v>0</v>
      </c>
      <c r="L154" s="97">
        <f t="shared" si="38"/>
        <v>0</v>
      </c>
      <c r="M154" s="97">
        <f t="shared" si="38"/>
        <v>0</v>
      </c>
      <c r="N154" s="97">
        <f t="shared" si="38"/>
        <v>0</v>
      </c>
      <c r="O154" s="101">
        <f t="shared" si="38"/>
        <v>202220</v>
      </c>
      <c r="P154" s="96">
        <f>E154+I154</f>
        <v>2800000</v>
      </c>
      <c r="Q154" s="97">
        <f>F154+J154</f>
        <v>196560</v>
      </c>
      <c r="R154" s="101">
        <f>H154+O154</f>
        <v>2996560</v>
      </c>
    </row>
    <row r="155" spans="1:19" s="9" customFormat="1" ht="21.95" customHeight="1" x14ac:dyDescent="0.2">
      <c r="A155" s="29" t="s">
        <v>242</v>
      </c>
      <c r="B155" s="11"/>
      <c r="C155" s="11"/>
      <c r="D155" s="95" t="s">
        <v>22</v>
      </c>
      <c r="E155" s="96"/>
      <c r="F155" s="100"/>
      <c r="G155" s="97"/>
      <c r="H155" s="98"/>
      <c r="I155" s="99"/>
      <c r="J155" s="100"/>
      <c r="K155" s="97"/>
      <c r="L155" s="97"/>
      <c r="M155" s="97"/>
      <c r="N155" s="97"/>
      <c r="O155" s="101"/>
      <c r="P155" s="107"/>
      <c r="Q155" s="97"/>
      <c r="R155" s="101"/>
    </row>
    <row r="156" spans="1:19" s="20" customFormat="1" ht="16.5" customHeight="1" x14ac:dyDescent="0.2">
      <c r="A156" s="16" t="s">
        <v>243</v>
      </c>
      <c r="B156" s="17" t="s">
        <v>123</v>
      </c>
      <c r="C156" s="17" t="s">
        <v>66</v>
      </c>
      <c r="D156" s="23" t="s">
        <v>37</v>
      </c>
      <c r="E156" s="18">
        <v>2597780</v>
      </c>
      <c r="F156" s="13">
        <f>G156</f>
        <v>0</v>
      </c>
      <c r="G156" s="13"/>
      <c r="H156" s="19">
        <f>E156+F156</f>
        <v>2597780</v>
      </c>
      <c r="I156" s="22">
        <v>12220</v>
      </c>
      <c r="J156" s="13">
        <f>K156+L156</f>
        <v>0</v>
      </c>
      <c r="K156" s="13"/>
      <c r="L156" s="13"/>
      <c r="M156" s="13"/>
      <c r="N156" s="13"/>
      <c r="O156" s="19">
        <f>I156+J156</f>
        <v>12220</v>
      </c>
      <c r="P156" s="18">
        <f t="shared" si="29"/>
        <v>2610000</v>
      </c>
      <c r="Q156" s="13">
        <f>F156+J156</f>
        <v>0</v>
      </c>
      <c r="R156" s="19">
        <f>H156+O156</f>
        <v>2610000</v>
      </c>
    </row>
    <row r="157" spans="1:19" s="20" customFormat="1" ht="42.75" customHeight="1" x14ac:dyDescent="0.2">
      <c r="A157" s="16" t="s">
        <v>533</v>
      </c>
      <c r="B157" s="17" t="s">
        <v>155</v>
      </c>
      <c r="C157" s="17" t="s">
        <v>90</v>
      </c>
      <c r="D157" s="82" t="s">
        <v>156</v>
      </c>
      <c r="E157" s="18"/>
      <c r="F157" s="13">
        <f>G157</f>
        <v>196560</v>
      </c>
      <c r="G157" s="13">
        <v>196560</v>
      </c>
      <c r="H157" s="19">
        <f>E157+F157</f>
        <v>196560</v>
      </c>
      <c r="I157" s="18">
        <v>0</v>
      </c>
      <c r="J157" s="13">
        <f>K157+L157</f>
        <v>0</v>
      </c>
      <c r="K157" s="13"/>
      <c r="L157" s="13"/>
      <c r="M157" s="13"/>
      <c r="N157" s="13"/>
      <c r="O157" s="19">
        <f>I157+J157</f>
        <v>0</v>
      </c>
      <c r="P157" s="18">
        <f>E157+I157</f>
        <v>0</v>
      </c>
      <c r="Q157" s="13">
        <f>F157+J157</f>
        <v>196560</v>
      </c>
      <c r="R157" s="19">
        <f>H157+O157</f>
        <v>196560</v>
      </c>
    </row>
    <row r="158" spans="1:19" s="20" customFormat="1" ht="78.75" customHeight="1" x14ac:dyDescent="0.2">
      <c r="A158" s="16" t="s">
        <v>439</v>
      </c>
      <c r="B158" s="17" t="s">
        <v>434</v>
      </c>
      <c r="C158" s="17" t="s">
        <v>77</v>
      </c>
      <c r="D158" s="23" t="s">
        <v>435</v>
      </c>
      <c r="E158" s="18"/>
      <c r="F158" s="13"/>
      <c r="G158" s="13"/>
      <c r="H158" s="19"/>
      <c r="I158" s="18">
        <v>190000</v>
      </c>
      <c r="J158" s="13">
        <f>K158+L158</f>
        <v>0</v>
      </c>
      <c r="K158" s="13"/>
      <c r="L158" s="13"/>
      <c r="M158" s="13"/>
      <c r="N158" s="13"/>
      <c r="O158" s="19">
        <f>I158+J158</f>
        <v>190000</v>
      </c>
      <c r="P158" s="18">
        <f t="shared" si="29"/>
        <v>190000</v>
      </c>
      <c r="Q158" s="13">
        <f>F158+J158</f>
        <v>0</v>
      </c>
      <c r="R158" s="19">
        <f>H158+O158</f>
        <v>190000</v>
      </c>
    </row>
    <row r="159" spans="1:19" s="9" customFormat="1" ht="21" customHeight="1" x14ac:dyDescent="0.2">
      <c r="A159" s="29" t="s">
        <v>191</v>
      </c>
      <c r="B159" s="11"/>
      <c r="C159" s="11"/>
      <c r="D159" s="30" t="s">
        <v>73</v>
      </c>
      <c r="E159" s="96">
        <v>68589500</v>
      </c>
      <c r="F159" s="97">
        <f>F161+F166+F167+F168+F174+F165+F163+F173+F164+F162</f>
        <v>71010</v>
      </c>
      <c r="G159" s="97">
        <f>G161+G166+G167+G168+G174+G165+G163+G173+G164+G162</f>
        <v>71010</v>
      </c>
      <c r="H159" s="101">
        <f>H161+H166+H167+H168+H174+H165+H163+H173+H164+H162</f>
        <v>68660510</v>
      </c>
      <c r="I159" s="96">
        <v>11388000</v>
      </c>
      <c r="J159" s="97">
        <f t="shared" ref="J159:O159" si="39">J161+J166+J167+J168+J174+J165+J163+J173+J169</f>
        <v>-6118550</v>
      </c>
      <c r="K159" s="97">
        <f t="shared" si="39"/>
        <v>0</v>
      </c>
      <c r="L159" s="97">
        <f t="shared" si="39"/>
        <v>-6118550</v>
      </c>
      <c r="M159" s="97">
        <f t="shared" si="39"/>
        <v>-6167550</v>
      </c>
      <c r="N159" s="97">
        <f t="shared" si="39"/>
        <v>-6187550</v>
      </c>
      <c r="O159" s="101">
        <f t="shared" si="39"/>
        <v>5269450</v>
      </c>
      <c r="P159" s="96">
        <f>E159+I159</f>
        <v>79977500</v>
      </c>
      <c r="Q159" s="97">
        <f>F159+J159</f>
        <v>-6047540</v>
      </c>
      <c r="R159" s="101">
        <f>H159+O159</f>
        <v>73929960</v>
      </c>
    </row>
    <row r="160" spans="1:19" s="9" customFormat="1" ht="16.5" customHeight="1" x14ac:dyDescent="0.2">
      <c r="A160" s="29" t="s">
        <v>244</v>
      </c>
      <c r="B160" s="11"/>
      <c r="C160" s="11"/>
      <c r="D160" s="30" t="s">
        <v>73</v>
      </c>
      <c r="E160" s="96"/>
      <c r="F160" s="97"/>
      <c r="G160" s="97"/>
      <c r="H160" s="98"/>
      <c r="I160" s="99"/>
      <c r="J160" s="100"/>
      <c r="K160" s="97"/>
      <c r="L160" s="97"/>
      <c r="M160" s="97"/>
      <c r="N160" s="97"/>
      <c r="O160" s="101"/>
      <c r="P160" s="107"/>
      <c r="Q160" s="100"/>
      <c r="R160" s="102"/>
    </row>
    <row r="161" spans="1:18" s="20" customFormat="1" ht="18" customHeight="1" x14ac:dyDescent="0.2">
      <c r="A161" s="16" t="s">
        <v>245</v>
      </c>
      <c r="B161" s="17" t="s">
        <v>123</v>
      </c>
      <c r="C161" s="17" t="s">
        <v>66</v>
      </c>
      <c r="D161" s="23" t="s">
        <v>38</v>
      </c>
      <c r="E161" s="18">
        <v>2392500</v>
      </c>
      <c r="F161" s="13">
        <f>G161</f>
        <v>48000</v>
      </c>
      <c r="G161" s="13">
        <v>48000</v>
      </c>
      <c r="H161" s="19">
        <f>E161+F161</f>
        <v>2440500</v>
      </c>
      <c r="I161" s="22">
        <v>0</v>
      </c>
      <c r="J161" s="13">
        <f>K161+L161</f>
        <v>19700</v>
      </c>
      <c r="K161" s="13"/>
      <c r="L161" s="13">
        <f>19700</f>
        <v>19700</v>
      </c>
      <c r="M161" s="13">
        <f>19700</f>
        <v>19700</v>
      </c>
      <c r="N161" s="13">
        <f>19700</f>
        <v>19700</v>
      </c>
      <c r="O161" s="19">
        <f>I161+J161</f>
        <v>19700</v>
      </c>
      <c r="P161" s="18">
        <f t="shared" ref="P161:P187" si="40">E161+I161</f>
        <v>2392500</v>
      </c>
      <c r="Q161" s="13">
        <f t="shared" ref="Q161:Q188" si="41">F161+J161</f>
        <v>67700</v>
      </c>
      <c r="R161" s="19">
        <f t="shared" ref="R161:R188" si="42">H161+O161</f>
        <v>2460200</v>
      </c>
    </row>
    <row r="162" spans="1:18" s="20" customFormat="1" ht="18" customHeight="1" x14ac:dyDescent="0.2">
      <c r="A162" s="16" t="s">
        <v>534</v>
      </c>
      <c r="B162" s="17" t="s">
        <v>49</v>
      </c>
      <c r="C162" s="17" t="s">
        <v>53</v>
      </c>
      <c r="D162" s="23" t="s">
        <v>264</v>
      </c>
      <c r="E162" s="18"/>
      <c r="F162" s="13">
        <f>G162</f>
        <v>49900</v>
      </c>
      <c r="G162" s="13">
        <v>49900</v>
      </c>
      <c r="H162" s="19">
        <f>E162+F162</f>
        <v>49900</v>
      </c>
      <c r="I162" s="22">
        <v>0</v>
      </c>
      <c r="J162" s="13"/>
      <c r="K162" s="13"/>
      <c r="L162" s="13"/>
      <c r="M162" s="13"/>
      <c r="N162" s="13"/>
      <c r="O162" s="19"/>
      <c r="P162" s="18">
        <f t="shared" si="40"/>
        <v>0</v>
      </c>
      <c r="Q162" s="13">
        <f t="shared" si="41"/>
        <v>49900</v>
      </c>
      <c r="R162" s="19">
        <f t="shared" si="42"/>
        <v>49900</v>
      </c>
    </row>
    <row r="163" spans="1:18" s="20" customFormat="1" ht="42.75" customHeight="1" x14ac:dyDescent="0.2">
      <c r="A163" s="16" t="s">
        <v>249</v>
      </c>
      <c r="B163" s="17" t="s">
        <v>138</v>
      </c>
      <c r="C163" s="17" t="s">
        <v>87</v>
      </c>
      <c r="D163" s="23" t="s">
        <v>139</v>
      </c>
      <c r="E163" s="18">
        <v>35508100</v>
      </c>
      <c r="F163" s="13">
        <f t="shared" ref="F163:F174" si="43">G163</f>
        <v>-50000</v>
      </c>
      <c r="G163" s="13">
        <v>-50000</v>
      </c>
      <c r="H163" s="19">
        <f t="shared" ref="H163:H175" si="44">E163+F163</f>
        <v>35458100</v>
      </c>
      <c r="I163" s="18">
        <v>3996000</v>
      </c>
      <c r="J163" s="13">
        <f>K163+L163</f>
        <v>55100</v>
      </c>
      <c r="K163" s="13"/>
      <c r="L163" s="13">
        <f>55100</f>
        <v>55100</v>
      </c>
      <c r="M163" s="13">
        <f>55100</f>
        <v>55100</v>
      </c>
      <c r="N163" s="13">
        <f>55100</f>
        <v>55100</v>
      </c>
      <c r="O163" s="19">
        <f t="shared" ref="O163:O175" si="45">I163+J163</f>
        <v>4051100</v>
      </c>
      <c r="P163" s="18">
        <f t="shared" si="40"/>
        <v>39504100</v>
      </c>
      <c r="Q163" s="13">
        <f t="shared" si="41"/>
        <v>5100</v>
      </c>
      <c r="R163" s="19">
        <f t="shared" si="42"/>
        <v>39509200</v>
      </c>
    </row>
    <row r="164" spans="1:18" s="20" customFormat="1" ht="42.75" customHeight="1" x14ac:dyDescent="0.2">
      <c r="A164" s="16" t="s">
        <v>533</v>
      </c>
      <c r="B164" s="17" t="s">
        <v>155</v>
      </c>
      <c r="C164" s="17" t="s">
        <v>90</v>
      </c>
      <c r="D164" s="82" t="s">
        <v>156</v>
      </c>
      <c r="E164" s="18"/>
      <c r="F164" s="13">
        <f t="shared" si="43"/>
        <v>95760</v>
      </c>
      <c r="G164" s="13">
        <v>95760</v>
      </c>
      <c r="H164" s="19">
        <f t="shared" si="44"/>
        <v>95760</v>
      </c>
      <c r="I164" s="18">
        <v>0</v>
      </c>
      <c r="J164" s="13">
        <f>K164+L164</f>
        <v>0</v>
      </c>
      <c r="K164" s="13"/>
      <c r="L164" s="13"/>
      <c r="M164" s="13"/>
      <c r="N164" s="13"/>
      <c r="O164" s="19">
        <f t="shared" si="45"/>
        <v>0</v>
      </c>
      <c r="P164" s="18">
        <f>E164+I164</f>
        <v>0</v>
      </c>
      <c r="Q164" s="13">
        <f t="shared" si="41"/>
        <v>95760</v>
      </c>
      <c r="R164" s="19">
        <f t="shared" si="42"/>
        <v>95760</v>
      </c>
    </row>
    <row r="165" spans="1:18" s="20" customFormat="1" ht="15.75" customHeight="1" x14ac:dyDescent="0.2">
      <c r="A165" s="16" t="s">
        <v>246</v>
      </c>
      <c r="B165" s="17" t="s">
        <v>133</v>
      </c>
      <c r="C165" s="17" t="s">
        <v>106</v>
      </c>
      <c r="D165" s="23" t="s">
        <v>134</v>
      </c>
      <c r="E165" s="18">
        <v>1000000</v>
      </c>
      <c r="F165" s="13">
        <f t="shared" si="43"/>
        <v>0</v>
      </c>
      <c r="G165" s="13"/>
      <c r="H165" s="19">
        <f t="shared" si="44"/>
        <v>1000000</v>
      </c>
      <c r="I165" s="18">
        <v>0</v>
      </c>
      <c r="J165" s="13"/>
      <c r="K165" s="13"/>
      <c r="L165" s="13"/>
      <c r="M165" s="13"/>
      <c r="N165" s="13"/>
      <c r="O165" s="19">
        <f t="shared" si="45"/>
        <v>0</v>
      </c>
      <c r="P165" s="18">
        <f t="shared" si="40"/>
        <v>1000000</v>
      </c>
      <c r="Q165" s="13">
        <f t="shared" si="41"/>
        <v>0</v>
      </c>
      <c r="R165" s="19">
        <f t="shared" si="42"/>
        <v>1000000</v>
      </c>
    </row>
    <row r="166" spans="1:18" s="20" customFormat="1" ht="16.5" customHeight="1" x14ac:dyDescent="0.2">
      <c r="A166" s="16" t="s">
        <v>247</v>
      </c>
      <c r="B166" s="17" t="s">
        <v>135</v>
      </c>
      <c r="C166" s="17" t="s">
        <v>97</v>
      </c>
      <c r="D166" s="23" t="s">
        <v>136</v>
      </c>
      <c r="E166" s="18">
        <v>9385700</v>
      </c>
      <c r="F166" s="13">
        <f t="shared" si="43"/>
        <v>-80250</v>
      </c>
      <c r="G166" s="13">
        <v>-80250</v>
      </c>
      <c r="H166" s="19">
        <f t="shared" si="44"/>
        <v>9305450</v>
      </c>
      <c r="I166" s="18">
        <v>81000</v>
      </c>
      <c r="J166" s="13">
        <f>K166+L166</f>
        <v>20000</v>
      </c>
      <c r="K166" s="13"/>
      <c r="L166" s="13">
        <f>20000</f>
        <v>20000</v>
      </c>
      <c r="M166" s="13">
        <f>20000</f>
        <v>20000</v>
      </c>
      <c r="N166" s="13"/>
      <c r="O166" s="19">
        <f t="shared" si="45"/>
        <v>101000</v>
      </c>
      <c r="P166" s="18">
        <f t="shared" si="40"/>
        <v>9466700</v>
      </c>
      <c r="Q166" s="13">
        <f t="shared" si="41"/>
        <v>-60250</v>
      </c>
      <c r="R166" s="19">
        <f t="shared" si="42"/>
        <v>9406450</v>
      </c>
    </row>
    <row r="167" spans="1:18" s="20" customFormat="1" ht="35.25" customHeight="1" x14ac:dyDescent="0.2">
      <c r="A167" s="16" t="s">
        <v>248</v>
      </c>
      <c r="B167" s="17" t="s">
        <v>96</v>
      </c>
      <c r="C167" s="17" t="s">
        <v>98</v>
      </c>
      <c r="D167" s="23" t="s">
        <v>137</v>
      </c>
      <c r="E167" s="18">
        <v>7558900</v>
      </c>
      <c r="F167" s="13">
        <f t="shared" si="43"/>
        <v>-40400</v>
      </c>
      <c r="G167" s="13">
        <v>-40400</v>
      </c>
      <c r="H167" s="19">
        <f t="shared" si="44"/>
        <v>7518500</v>
      </c>
      <c r="I167" s="18">
        <v>6845000</v>
      </c>
      <c r="J167" s="13">
        <f>K167+L167</f>
        <v>-6337650</v>
      </c>
      <c r="K167" s="13"/>
      <c r="L167" s="13">
        <f>-6337650</f>
        <v>-6337650</v>
      </c>
      <c r="M167" s="13">
        <f>-6337650</f>
        <v>-6337650</v>
      </c>
      <c r="N167" s="13">
        <f>-6337650</f>
        <v>-6337650</v>
      </c>
      <c r="O167" s="19">
        <f t="shared" si="45"/>
        <v>507350</v>
      </c>
      <c r="P167" s="18">
        <f t="shared" si="40"/>
        <v>14403900</v>
      </c>
      <c r="Q167" s="13">
        <f t="shared" si="41"/>
        <v>-6378050</v>
      </c>
      <c r="R167" s="19">
        <f t="shared" si="42"/>
        <v>8025850</v>
      </c>
    </row>
    <row r="168" spans="1:18" s="20" customFormat="1" ht="24" customHeight="1" x14ac:dyDescent="0.2">
      <c r="A168" s="16" t="s">
        <v>250</v>
      </c>
      <c r="B168" s="17" t="s">
        <v>140</v>
      </c>
      <c r="C168" s="17" t="s">
        <v>99</v>
      </c>
      <c r="D168" s="23" t="s">
        <v>141</v>
      </c>
      <c r="E168" s="18">
        <v>10244300</v>
      </c>
      <c r="F168" s="13">
        <f t="shared" si="43"/>
        <v>48000</v>
      </c>
      <c r="G168" s="13">
        <v>48000</v>
      </c>
      <c r="H168" s="19">
        <f t="shared" si="44"/>
        <v>10292300</v>
      </c>
      <c r="I168" s="18">
        <v>0</v>
      </c>
      <c r="J168" s="13">
        <f>K168+L168</f>
        <v>0</v>
      </c>
      <c r="K168" s="13"/>
      <c r="L168" s="13"/>
      <c r="M168" s="13"/>
      <c r="N168" s="13"/>
      <c r="O168" s="19">
        <f t="shared" si="45"/>
        <v>0</v>
      </c>
      <c r="P168" s="18">
        <f t="shared" si="40"/>
        <v>10244300</v>
      </c>
      <c r="Q168" s="13">
        <f t="shared" si="41"/>
        <v>48000</v>
      </c>
      <c r="R168" s="19">
        <f t="shared" si="42"/>
        <v>10292300</v>
      </c>
    </row>
    <row r="169" spans="1:18" s="20" customFormat="1" ht="24" customHeight="1" x14ac:dyDescent="0.2">
      <c r="A169" s="16" t="s">
        <v>428</v>
      </c>
      <c r="B169" s="17" t="s">
        <v>427</v>
      </c>
      <c r="C169" s="17" t="s">
        <v>99</v>
      </c>
      <c r="D169" s="23" t="s">
        <v>429</v>
      </c>
      <c r="E169" s="18">
        <v>6544300</v>
      </c>
      <c r="F169" s="13">
        <f t="shared" si="43"/>
        <v>0</v>
      </c>
      <c r="G169" s="13"/>
      <c r="H169" s="19">
        <f t="shared" si="44"/>
        <v>6544300</v>
      </c>
      <c r="I169" s="18">
        <v>0</v>
      </c>
      <c r="J169" s="13">
        <f>K169+L169</f>
        <v>35300</v>
      </c>
      <c r="K169" s="13"/>
      <c r="L169" s="13">
        <f>35300</f>
        <v>35300</v>
      </c>
      <c r="M169" s="13">
        <f>35300</f>
        <v>35300</v>
      </c>
      <c r="N169" s="13">
        <f>35300</f>
        <v>35300</v>
      </c>
      <c r="O169" s="19">
        <f t="shared" si="45"/>
        <v>35300</v>
      </c>
      <c r="P169" s="18">
        <f t="shared" si="40"/>
        <v>6544300</v>
      </c>
      <c r="Q169" s="13">
        <f t="shared" si="41"/>
        <v>35300</v>
      </c>
      <c r="R169" s="19">
        <f t="shared" si="42"/>
        <v>6579600</v>
      </c>
    </row>
    <row r="170" spans="1:18" s="20" customFormat="1" ht="12.75" customHeight="1" x14ac:dyDescent="0.2">
      <c r="A170" s="16"/>
      <c r="B170" s="17"/>
      <c r="C170" s="17"/>
      <c r="D170" s="23" t="s">
        <v>119</v>
      </c>
      <c r="E170" s="18">
        <v>0</v>
      </c>
      <c r="F170" s="13"/>
      <c r="G170" s="13"/>
      <c r="H170" s="19">
        <f t="shared" si="44"/>
        <v>0</v>
      </c>
      <c r="I170" s="18">
        <v>0</v>
      </c>
      <c r="J170" s="13"/>
      <c r="K170" s="13"/>
      <c r="L170" s="13"/>
      <c r="M170" s="13"/>
      <c r="N170" s="13"/>
      <c r="O170" s="19">
        <f t="shared" si="45"/>
        <v>0</v>
      </c>
      <c r="P170" s="18"/>
      <c r="Q170" s="13">
        <f t="shared" si="41"/>
        <v>0</v>
      </c>
      <c r="R170" s="19">
        <f t="shared" si="42"/>
        <v>0</v>
      </c>
    </row>
    <row r="171" spans="1:18" s="20" customFormat="1" ht="23.25" customHeight="1" x14ac:dyDescent="0.2">
      <c r="A171" s="16"/>
      <c r="B171" s="17"/>
      <c r="C171" s="17"/>
      <c r="D171" s="23" t="s">
        <v>120</v>
      </c>
      <c r="E171" s="18">
        <v>4517000</v>
      </c>
      <c r="F171" s="13">
        <f t="shared" si="43"/>
        <v>0</v>
      </c>
      <c r="G171" s="13"/>
      <c r="H171" s="19">
        <f t="shared" si="44"/>
        <v>4517000</v>
      </c>
      <c r="I171" s="18">
        <v>0</v>
      </c>
      <c r="J171" s="13"/>
      <c r="K171" s="13"/>
      <c r="L171" s="13"/>
      <c r="M171" s="13"/>
      <c r="N171" s="13"/>
      <c r="O171" s="19">
        <f t="shared" si="45"/>
        <v>0</v>
      </c>
      <c r="P171" s="18">
        <f t="shared" si="40"/>
        <v>4517000</v>
      </c>
      <c r="Q171" s="13">
        <f t="shared" si="41"/>
        <v>0</v>
      </c>
      <c r="R171" s="19">
        <f t="shared" si="42"/>
        <v>4517000</v>
      </c>
    </row>
    <row r="172" spans="1:18" s="20" customFormat="1" ht="24" customHeight="1" x14ac:dyDescent="0.2">
      <c r="A172" s="16" t="s">
        <v>430</v>
      </c>
      <c r="B172" s="17" t="s">
        <v>431</v>
      </c>
      <c r="C172" s="17" t="s">
        <v>99</v>
      </c>
      <c r="D172" s="23" t="s">
        <v>432</v>
      </c>
      <c r="E172" s="18">
        <v>3700000</v>
      </c>
      <c r="F172" s="13">
        <f t="shared" si="43"/>
        <v>48000</v>
      </c>
      <c r="G172" s="13">
        <v>48000</v>
      </c>
      <c r="H172" s="19">
        <f t="shared" si="44"/>
        <v>3748000</v>
      </c>
      <c r="I172" s="18">
        <v>0</v>
      </c>
      <c r="J172" s="13">
        <f>K172+L172</f>
        <v>0</v>
      </c>
      <c r="K172" s="13"/>
      <c r="L172" s="13"/>
      <c r="M172" s="13"/>
      <c r="N172" s="13"/>
      <c r="O172" s="19">
        <f t="shared" si="45"/>
        <v>0</v>
      </c>
      <c r="P172" s="18">
        <f t="shared" si="40"/>
        <v>3700000</v>
      </c>
      <c r="Q172" s="13">
        <f t="shared" si="41"/>
        <v>48000</v>
      </c>
      <c r="R172" s="19">
        <f t="shared" si="42"/>
        <v>3748000</v>
      </c>
    </row>
    <row r="173" spans="1:18" s="20" customFormat="1" ht="83.25" customHeight="1" x14ac:dyDescent="0.2">
      <c r="A173" s="16" t="s">
        <v>433</v>
      </c>
      <c r="B173" s="17" t="s">
        <v>434</v>
      </c>
      <c r="C173" s="17" t="s">
        <v>77</v>
      </c>
      <c r="D173" s="23" t="s">
        <v>435</v>
      </c>
      <c r="E173" s="18"/>
      <c r="F173" s="13"/>
      <c r="G173" s="13"/>
      <c r="H173" s="19"/>
      <c r="I173" s="18">
        <v>466000</v>
      </c>
      <c r="J173" s="13">
        <f>K173+L173</f>
        <v>49000</v>
      </c>
      <c r="K173" s="13"/>
      <c r="L173" s="13">
        <f>49000</f>
        <v>49000</v>
      </c>
      <c r="M173" s="13"/>
      <c r="N173" s="13"/>
      <c r="O173" s="19">
        <f t="shared" si="45"/>
        <v>515000</v>
      </c>
      <c r="P173" s="18">
        <f t="shared" si="40"/>
        <v>466000</v>
      </c>
      <c r="Q173" s="13">
        <f t="shared" si="41"/>
        <v>49000</v>
      </c>
      <c r="R173" s="19">
        <f t="shared" si="42"/>
        <v>515000</v>
      </c>
    </row>
    <row r="174" spans="1:18" s="20" customFormat="1" ht="15.75" customHeight="1" x14ac:dyDescent="0.2">
      <c r="A174" s="16" t="s">
        <v>251</v>
      </c>
      <c r="B174" s="17" t="s">
        <v>142</v>
      </c>
      <c r="C174" s="17" t="s">
        <v>100</v>
      </c>
      <c r="D174" s="23" t="s">
        <v>143</v>
      </c>
      <c r="E174" s="18">
        <v>2500000</v>
      </c>
      <c r="F174" s="13">
        <f t="shared" si="43"/>
        <v>0</v>
      </c>
      <c r="G174" s="13"/>
      <c r="H174" s="19">
        <f t="shared" si="44"/>
        <v>2500000</v>
      </c>
      <c r="I174" s="22">
        <v>0</v>
      </c>
      <c r="J174" s="13">
        <f>K174+L174</f>
        <v>40000</v>
      </c>
      <c r="K174" s="13"/>
      <c r="L174" s="13">
        <f>40000</f>
        <v>40000</v>
      </c>
      <c r="M174" s="13">
        <f>40000</f>
        <v>40000</v>
      </c>
      <c r="N174" s="13">
        <f>40000</f>
        <v>40000</v>
      </c>
      <c r="O174" s="19">
        <f t="shared" si="45"/>
        <v>40000</v>
      </c>
      <c r="P174" s="18">
        <f t="shared" si="40"/>
        <v>2500000</v>
      </c>
      <c r="Q174" s="13">
        <f t="shared" si="41"/>
        <v>40000</v>
      </c>
      <c r="R174" s="19">
        <f t="shared" si="42"/>
        <v>2540000</v>
      </c>
    </row>
    <row r="175" spans="1:18" s="20" customFormat="1" ht="15.75" customHeight="1" x14ac:dyDescent="0.2">
      <c r="A175" s="16"/>
      <c r="B175" s="17"/>
      <c r="C175" s="17"/>
      <c r="D175" s="28" t="s">
        <v>532</v>
      </c>
      <c r="E175" s="18"/>
      <c r="F175" s="13"/>
      <c r="G175" s="13"/>
      <c r="H175" s="19">
        <f t="shared" si="44"/>
        <v>0</v>
      </c>
      <c r="I175" s="22"/>
      <c r="J175" s="13">
        <f>K175+L175</f>
        <v>40000</v>
      </c>
      <c r="K175" s="13"/>
      <c r="L175" s="13">
        <f>40000</f>
        <v>40000</v>
      </c>
      <c r="M175" s="13">
        <f>40000</f>
        <v>40000</v>
      </c>
      <c r="N175" s="13">
        <f>40000</f>
        <v>40000</v>
      </c>
      <c r="O175" s="19">
        <f t="shared" si="45"/>
        <v>40000</v>
      </c>
      <c r="P175" s="18">
        <f t="shared" si="40"/>
        <v>0</v>
      </c>
      <c r="Q175" s="13">
        <f t="shared" si="41"/>
        <v>40000</v>
      </c>
      <c r="R175" s="19">
        <f t="shared" si="42"/>
        <v>40000</v>
      </c>
    </row>
    <row r="176" spans="1:18" s="9" customFormat="1" ht="26.25" customHeight="1" x14ac:dyDescent="0.2">
      <c r="A176" s="51">
        <v>1100000</v>
      </c>
      <c r="B176" s="11"/>
      <c r="C176" s="11"/>
      <c r="D176" s="30" t="s">
        <v>67</v>
      </c>
      <c r="E176" s="96">
        <v>14536000</v>
      </c>
      <c r="F176" s="97">
        <f>F178+F179+F182+F183+F184+F185+F187+F188+F186+F181</f>
        <v>394480</v>
      </c>
      <c r="G176" s="97">
        <f>G178+G179+G182+G183+G184+G185+G187+G188+G186+G181</f>
        <v>394480</v>
      </c>
      <c r="H176" s="101">
        <f>H178+H179+H182+H183+H184+H185+H187+H188+H186+H181</f>
        <v>14930480</v>
      </c>
      <c r="I176" s="96">
        <v>200000</v>
      </c>
      <c r="J176" s="97">
        <f t="shared" ref="J176:O176" si="46">J178+J179+J182+J183+J184+J185+J187+J188+J186</f>
        <v>0</v>
      </c>
      <c r="K176" s="97">
        <f t="shared" si="46"/>
        <v>0</v>
      </c>
      <c r="L176" s="97">
        <f t="shared" si="46"/>
        <v>0</v>
      </c>
      <c r="M176" s="97">
        <f t="shared" si="46"/>
        <v>0</v>
      </c>
      <c r="N176" s="97">
        <f t="shared" si="46"/>
        <v>0</v>
      </c>
      <c r="O176" s="101">
        <f t="shared" si="46"/>
        <v>200000</v>
      </c>
      <c r="P176" s="96">
        <f>E176+I176</f>
        <v>14736000</v>
      </c>
      <c r="Q176" s="97">
        <f t="shared" si="41"/>
        <v>394480</v>
      </c>
      <c r="R176" s="101">
        <f t="shared" si="42"/>
        <v>15130480</v>
      </c>
    </row>
    <row r="177" spans="1:18" s="9" customFormat="1" ht="27.75" customHeight="1" x14ac:dyDescent="0.2">
      <c r="A177" s="51">
        <v>1110000</v>
      </c>
      <c r="B177" s="11"/>
      <c r="C177" s="11"/>
      <c r="D177" s="30" t="s">
        <v>67</v>
      </c>
      <c r="E177" s="96"/>
      <c r="F177" s="97"/>
      <c r="G177" s="97"/>
      <c r="H177" s="98"/>
      <c r="I177" s="99"/>
      <c r="J177" s="100"/>
      <c r="K177" s="97"/>
      <c r="L177" s="97"/>
      <c r="M177" s="97"/>
      <c r="N177" s="97"/>
      <c r="O177" s="101"/>
      <c r="P177" s="107"/>
      <c r="Q177" s="100"/>
      <c r="R177" s="102"/>
    </row>
    <row r="178" spans="1:18" s="20" customFormat="1" ht="27.75" customHeight="1" x14ac:dyDescent="0.2">
      <c r="A178" s="52">
        <v>1110160</v>
      </c>
      <c r="B178" s="17" t="s">
        <v>123</v>
      </c>
      <c r="C178" s="17" t="s">
        <v>66</v>
      </c>
      <c r="D178" s="23" t="s">
        <v>69</v>
      </c>
      <c r="E178" s="18">
        <v>2318000</v>
      </c>
      <c r="F178" s="13">
        <f>G178</f>
        <v>0</v>
      </c>
      <c r="G178" s="13"/>
      <c r="H178" s="19">
        <f>E178+F178</f>
        <v>2318000</v>
      </c>
      <c r="I178" s="22">
        <v>0</v>
      </c>
      <c r="J178" s="13">
        <f>K178+L178</f>
        <v>0</v>
      </c>
      <c r="K178" s="13"/>
      <c r="L178" s="13"/>
      <c r="M178" s="13"/>
      <c r="N178" s="13"/>
      <c r="O178" s="19">
        <f>I178+J178</f>
        <v>0</v>
      </c>
      <c r="P178" s="18">
        <f t="shared" si="40"/>
        <v>2318000</v>
      </c>
      <c r="Q178" s="13">
        <f t="shared" si="41"/>
        <v>0</v>
      </c>
      <c r="R178" s="19">
        <f t="shared" si="42"/>
        <v>2318000</v>
      </c>
    </row>
    <row r="179" spans="1:18" s="20" customFormat="1" ht="35.25" customHeight="1" x14ac:dyDescent="0.2">
      <c r="A179" s="52">
        <v>1113131</v>
      </c>
      <c r="B179" s="17" t="s">
        <v>124</v>
      </c>
      <c r="C179" s="17" t="s">
        <v>90</v>
      </c>
      <c r="D179" s="87" t="s">
        <v>125</v>
      </c>
      <c r="E179" s="18">
        <v>585000</v>
      </c>
      <c r="F179" s="13">
        <f t="shared" ref="F179:F188" si="47">G179</f>
        <v>140000</v>
      </c>
      <c r="G179" s="13">
        <f>100000+40000</f>
        <v>140000</v>
      </c>
      <c r="H179" s="19">
        <f>E179+F179</f>
        <v>725000</v>
      </c>
      <c r="I179" s="22">
        <v>0</v>
      </c>
      <c r="J179" s="13">
        <f t="shared" ref="J179:J188" si="48">K179+L179</f>
        <v>0</v>
      </c>
      <c r="K179" s="13"/>
      <c r="L179" s="13"/>
      <c r="M179" s="13"/>
      <c r="N179" s="13"/>
      <c r="O179" s="19">
        <f t="shared" ref="O179:O188" si="49">I179+J179</f>
        <v>0</v>
      </c>
      <c r="P179" s="18">
        <f t="shared" si="40"/>
        <v>585000</v>
      </c>
      <c r="Q179" s="13">
        <f t="shared" si="41"/>
        <v>140000</v>
      </c>
      <c r="R179" s="19">
        <f>H179+O179</f>
        <v>725000</v>
      </c>
    </row>
    <row r="180" spans="1:18" s="20" customFormat="1" ht="27.75" customHeight="1" x14ac:dyDescent="0.2">
      <c r="A180" s="52"/>
      <c r="B180" s="17"/>
      <c r="C180" s="17"/>
      <c r="D180" s="21" t="s">
        <v>532</v>
      </c>
      <c r="E180" s="18"/>
      <c r="F180" s="13">
        <f t="shared" si="47"/>
        <v>40000</v>
      </c>
      <c r="G180" s="13">
        <v>40000</v>
      </c>
      <c r="H180" s="19">
        <f>E180+F180</f>
        <v>40000</v>
      </c>
      <c r="I180" s="22"/>
      <c r="J180" s="13"/>
      <c r="K180" s="13"/>
      <c r="L180" s="13"/>
      <c r="M180" s="13"/>
      <c r="N180" s="13"/>
      <c r="O180" s="19"/>
      <c r="P180" s="18"/>
      <c r="Q180" s="13">
        <f t="shared" si="41"/>
        <v>40000</v>
      </c>
      <c r="R180" s="19">
        <f>H180+O180</f>
        <v>40000</v>
      </c>
    </row>
    <row r="181" spans="1:18" s="20" customFormat="1" ht="48.75" customHeight="1" x14ac:dyDescent="0.2">
      <c r="A181" s="16" t="s">
        <v>535</v>
      </c>
      <c r="B181" s="17" t="s">
        <v>155</v>
      </c>
      <c r="C181" s="17" t="s">
        <v>90</v>
      </c>
      <c r="D181" s="82" t="s">
        <v>156</v>
      </c>
      <c r="E181" s="18"/>
      <c r="F181" s="13">
        <f t="shared" si="47"/>
        <v>193360</v>
      </c>
      <c r="G181" s="13">
        <v>193360</v>
      </c>
      <c r="H181" s="19">
        <f>E181+F181</f>
        <v>193360</v>
      </c>
      <c r="I181" s="18">
        <v>0</v>
      </c>
      <c r="J181" s="13">
        <f>K181+L181</f>
        <v>0</v>
      </c>
      <c r="K181" s="13"/>
      <c r="L181" s="13"/>
      <c r="M181" s="13"/>
      <c r="N181" s="13"/>
      <c r="O181" s="19">
        <f>I181+J181</f>
        <v>0</v>
      </c>
      <c r="P181" s="18">
        <f>E181+I181</f>
        <v>0</v>
      </c>
      <c r="Q181" s="13">
        <f>F181+J181</f>
        <v>193360</v>
      </c>
      <c r="R181" s="19">
        <f>H181+O181</f>
        <v>193360</v>
      </c>
    </row>
    <row r="182" spans="1:18" s="20" customFormat="1" ht="25.5" customHeight="1" x14ac:dyDescent="0.2">
      <c r="A182" s="52">
        <v>1115011</v>
      </c>
      <c r="B182" s="17" t="s">
        <v>93</v>
      </c>
      <c r="C182" s="17" t="s">
        <v>91</v>
      </c>
      <c r="D182" s="23" t="s">
        <v>92</v>
      </c>
      <c r="E182" s="18">
        <v>750000</v>
      </c>
      <c r="F182" s="13">
        <f t="shared" si="47"/>
        <v>100000</v>
      </c>
      <c r="G182" s="13">
        <v>100000</v>
      </c>
      <c r="H182" s="19">
        <f t="shared" ref="H182:H188" si="50">E182+F182</f>
        <v>850000</v>
      </c>
      <c r="I182" s="22">
        <v>0</v>
      </c>
      <c r="J182" s="13">
        <f t="shared" si="48"/>
        <v>0</v>
      </c>
      <c r="K182" s="13"/>
      <c r="L182" s="13"/>
      <c r="M182" s="13"/>
      <c r="N182" s="13"/>
      <c r="O182" s="19">
        <f t="shared" si="49"/>
        <v>0</v>
      </c>
      <c r="P182" s="18">
        <f t="shared" si="40"/>
        <v>750000</v>
      </c>
      <c r="Q182" s="13">
        <f t="shared" si="41"/>
        <v>100000</v>
      </c>
      <c r="R182" s="19">
        <f t="shared" si="42"/>
        <v>850000</v>
      </c>
    </row>
    <row r="183" spans="1:18" s="20" customFormat="1" ht="23.25" customHeight="1" x14ac:dyDescent="0.2">
      <c r="A183" s="52">
        <v>1115012</v>
      </c>
      <c r="B183" s="17" t="s">
        <v>122</v>
      </c>
      <c r="C183" s="17" t="s">
        <v>91</v>
      </c>
      <c r="D183" s="23" t="s">
        <v>121</v>
      </c>
      <c r="E183" s="18">
        <v>750000</v>
      </c>
      <c r="F183" s="13">
        <f t="shared" si="47"/>
        <v>-100000</v>
      </c>
      <c r="G183" s="13">
        <v>-100000</v>
      </c>
      <c r="H183" s="19">
        <f t="shared" si="50"/>
        <v>650000</v>
      </c>
      <c r="I183" s="22">
        <v>0</v>
      </c>
      <c r="J183" s="13">
        <f t="shared" si="48"/>
        <v>0</v>
      </c>
      <c r="K183" s="13"/>
      <c r="L183" s="13"/>
      <c r="M183" s="13"/>
      <c r="N183" s="13"/>
      <c r="O183" s="19">
        <f t="shared" si="49"/>
        <v>0</v>
      </c>
      <c r="P183" s="18">
        <f t="shared" si="40"/>
        <v>750000</v>
      </c>
      <c r="Q183" s="13">
        <f t="shared" si="41"/>
        <v>-100000</v>
      </c>
      <c r="R183" s="19">
        <f t="shared" si="42"/>
        <v>650000</v>
      </c>
    </row>
    <row r="184" spans="1:18" s="20" customFormat="1" ht="26.25" customHeight="1" x14ac:dyDescent="0.2">
      <c r="A184" s="52">
        <v>1115021</v>
      </c>
      <c r="B184" s="17" t="s">
        <v>126</v>
      </c>
      <c r="C184" s="17" t="s">
        <v>91</v>
      </c>
      <c r="D184" s="23" t="s">
        <v>425</v>
      </c>
      <c r="E184" s="18">
        <v>371500</v>
      </c>
      <c r="F184" s="13">
        <f t="shared" si="47"/>
        <v>0</v>
      </c>
      <c r="G184" s="13"/>
      <c r="H184" s="19">
        <f t="shared" si="50"/>
        <v>371500</v>
      </c>
      <c r="I184" s="22">
        <v>0</v>
      </c>
      <c r="J184" s="13">
        <f t="shared" si="48"/>
        <v>0</v>
      </c>
      <c r="K184" s="13"/>
      <c r="L184" s="13"/>
      <c r="M184" s="13"/>
      <c r="N184" s="13"/>
      <c r="O184" s="19">
        <f t="shared" si="49"/>
        <v>0</v>
      </c>
      <c r="P184" s="18">
        <f t="shared" si="40"/>
        <v>371500</v>
      </c>
      <c r="Q184" s="13">
        <f t="shared" si="41"/>
        <v>0</v>
      </c>
      <c r="R184" s="19">
        <f t="shared" si="42"/>
        <v>371500</v>
      </c>
    </row>
    <row r="185" spans="1:18" s="20" customFormat="1" ht="27.75" customHeight="1" x14ac:dyDescent="0.2">
      <c r="A185" s="52">
        <v>1115022</v>
      </c>
      <c r="B185" s="17" t="s">
        <v>127</v>
      </c>
      <c r="C185" s="17" t="s">
        <v>394</v>
      </c>
      <c r="D185" s="23" t="s">
        <v>426</v>
      </c>
      <c r="E185" s="18">
        <v>140000</v>
      </c>
      <c r="F185" s="13">
        <f t="shared" si="47"/>
        <v>0</v>
      </c>
      <c r="G185" s="13"/>
      <c r="H185" s="19">
        <f t="shared" si="50"/>
        <v>140000</v>
      </c>
      <c r="I185" s="22">
        <v>0</v>
      </c>
      <c r="J185" s="13">
        <f t="shared" si="48"/>
        <v>0</v>
      </c>
      <c r="K185" s="13"/>
      <c r="L185" s="13"/>
      <c r="M185" s="13"/>
      <c r="N185" s="13"/>
      <c r="O185" s="19">
        <f t="shared" si="49"/>
        <v>0</v>
      </c>
      <c r="P185" s="18">
        <f t="shared" si="40"/>
        <v>140000</v>
      </c>
      <c r="Q185" s="13">
        <f t="shared" si="41"/>
        <v>0</v>
      </c>
      <c r="R185" s="19">
        <f t="shared" si="42"/>
        <v>140000</v>
      </c>
    </row>
    <row r="186" spans="1:18" s="20" customFormat="1" ht="22.9" customHeight="1" x14ac:dyDescent="0.2">
      <c r="A186" s="52">
        <v>1115041</v>
      </c>
      <c r="B186" s="17" t="s">
        <v>393</v>
      </c>
      <c r="C186" s="17" t="s">
        <v>91</v>
      </c>
      <c r="D186" s="23" t="s">
        <v>392</v>
      </c>
      <c r="E186" s="18">
        <v>2400000</v>
      </c>
      <c r="F186" s="13">
        <f t="shared" si="47"/>
        <v>0</v>
      </c>
      <c r="G186" s="13"/>
      <c r="H186" s="19">
        <f t="shared" si="50"/>
        <v>2400000</v>
      </c>
      <c r="I186" s="18">
        <v>200000</v>
      </c>
      <c r="J186" s="13">
        <f t="shared" si="48"/>
        <v>0</v>
      </c>
      <c r="K186" s="13"/>
      <c r="L186" s="13"/>
      <c r="M186" s="13"/>
      <c r="N186" s="13"/>
      <c r="O186" s="19">
        <f t="shared" si="49"/>
        <v>200000</v>
      </c>
      <c r="P186" s="18">
        <f t="shared" si="40"/>
        <v>2600000</v>
      </c>
      <c r="Q186" s="13">
        <f t="shared" si="41"/>
        <v>0</v>
      </c>
      <c r="R186" s="19">
        <f t="shared" si="42"/>
        <v>2600000</v>
      </c>
    </row>
    <row r="187" spans="1:18" s="20" customFormat="1" ht="40.15" customHeight="1" x14ac:dyDescent="0.2">
      <c r="A187" s="52">
        <v>1115061</v>
      </c>
      <c r="B187" s="17" t="s">
        <v>129</v>
      </c>
      <c r="C187" s="17" t="s">
        <v>91</v>
      </c>
      <c r="D187" s="23" t="s">
        <v>130</v>
      </c>
      <c r="E187" s="18">
        <v>450000</v>
      </c>
      <c r="F187" s="13">
        <f t="shared" si="47"/>
        <v>0</v>
      </c>
      <c r="G187" s="13"/>
      <c r="H187" s="19">
        <f t="shared" si="50"/>
        <v>450000</v>
      </c>
      <c r="I187" s="22">
        <v>0</v>
      </c>
      <c r="J187" s="13">
        <f t="shared" si="48"/>
        <v>0</v>
      </c>
      <c r="K187" s="13"/>
      <c r="L187" s="13"/>
      <c r="M187" s="13"/>
      <c r="N187" s="13"/>
      <c r="O187" s="19">
        <f t="shared" si="49"/>
        <v>0</v>
      </c>
      <c r="P187" s="18">
        <f t="shared" si="40"/>
        <v>450000</v>
      </c>
      <c r="Q187" s="13">
        <f t="shared" si="41"/>
        <v>0</v>
      </c>
      <c r="R187" s="19">
        <f t="shared" si="42"/>
        <v>450000</v>
      </c>
    </row>
    <row r="188" spans="1:18" s="20" customFormat="1" ht="36.75" customHeight="1" x14ac:dyDescent="0.2">
      <c r="A188" s="52">
        <v>1115062</v>
      </c>
      <c r="B188" s="17" t="s">
        <v>131</v>
      </c>
      <c r="C188" s="17" t="s">
        <v>91</v>
      </c>
      <c r="D188" s="23" t="s">
        <v>132</v>
      </c>
      <c r="E188" s="18">
        <v>6771500</v>
      </c>
      <c r="F188" s="53">
        <f t="shared" si="47"/>
        <v>61120</v>
      </c>
      <c r="G188" s="53">
        <f>50000+11120</f>
        <v>61120</v>
      </c>
      <c r="H188" s="54">
        <f t="shared" si="50"/>
        <v>6832620</v>
      </c>
      <c r="I188" s="22">
        <v>0</v>
      </c>
      <c r="J188" s="13">
        <f t="shared" si="48"/>
        <v>0</v>
      </c>
      <c r="K188" s="13"/>
      <c r="L188" s="13"/>
      <c r="M188" s="13"/>
      <c r="N188" s="13"/>
      <c r="O188" s="19">
        <f t="shared" si="49"/>
        <v>0</v>
      </c>
      <c r="P188" s="18">
        <f>E188+I188</f>
        <v>6771500</v>
      </c>
      <c r="Q188" s="13">
        <f t="shared" si="41"/>
        <v>61120</v>
      </c>
      <c r="R188" s="19">
        <f t="shared" si="42"/>
        <v>6832620</v>
      </c>
    </row>
    <row r="189" spans="1:18" s="9" customFormat="1" ht="25.5" x14ac:dyDescent="0.2">
      <c r="A189" s="29" t="s">
        <v>196</v>
      </c>
      <c r="B189" s="11"/>
      <c r="C189" s="11"/>
      <c r="D189" s="111" t="s">
        <v>46</v>
      </c>
      <c r="E189" s="96">
        <v>100198446</v>
      </c>
      <c r="F189" s="97">
        <f>F191+F193+F194+F195+F196+F197+F199+F192+F201+F200</f>
        <v>-5885287</v>
      </c>
      <c r="G189" s="97">
        <f>G191+G193+G194+G195+G196+G197+G199+G192+G201+G200</f>
        <v>-5885287</v>
      </c>
      <c r="H189" s="101">
        <f>H191+H193+H194+H195+H196+H197+H199+H192+H201+H200</f>
        <v>94313159</v>
      </c>
      <c r="I189" s="96">
        <v>356895405</v>
      </c>
      <c r="J189" s="97">
        <f t="shared" ref="J189:O189" si="51">J191+J193+J194+J195+J196+J197+J199+J192+J201+J200+J198</f>
        <v>5547300</v>
      </c>
      <c r="K189" s="97">
        <f t="shared" si="51"/>
        <v>0</v>
      </c>
      <c r="L189" s="97">
        <f t="shared" si="51"/>
        <v>5547300</v>
      </c>
      <c r="M189" s="97">
        <f t="shared" si="51"/>
        <v>5547300</v>
      </c>
      <c r="N189" s="97">
        <f t="shared" si="51"/>
        <v>3497300</v>
      </c>
      <c r="O189" s="101">
        <f t="shared" si="51"/>
        <v>362442705</v>
      </c>
      <c r="P189" s="96">
        <f>E189+I189</f>
        <v>457093851</v>
      </c>
      <c r="Q189" s="97">
        <f>F189+J189</f>
        <v>-337987</v>
      </c>
      <c r="R189" s="101">
        <f>H189+O189</f>
        <v>456755864</v>
      </c>
    </row>
    <row r="190" spans="1:18" s="9" customFormat="1" ht="25.5" x14ac:dyDescent="0.2">
      <c r="A190" s="29" t="s">
        <v>197</v>
      </c>
      <c r="B190" s="11"/>
      <c r="C190" s="11"/>
      <c r="D190" s="95" t="s">
        <v>46</v>
      </c>
      <c r="E190" s="96"/>
      <c r="F190" s="97"/>
      <c r="G190" s="97"/>
      <c r="H190" s="101"/>
      <c r="I190" s="96"/>
      <c r="J190" s="100"/>
      <c r="K190" s="97"/>
      <c r="L190" s="97"/>
      <c r="M190" s="97"/>
      <c r="N190" s="97"/>
      <c r="O190" s="101"/>
      <c r="P190" s="107"/>
      <c r="Q190" s="100"/>
      <c r="R190" s="102"/>
    </row>
    <row r="191" spans="1:18" s="20" customFormat="1" ht="33" customHeight="1" x14ac:dyDescent="0.2">
      <c r="A191" s="16" t="s">
        <v>198</v>
      </c>
      <c r="B191" s="17" t="s">
        <v>123</v>
      </c>
      <c r="C191" s="17" t="s">
        <v>66</v>
      </c>
      <c r="D191" s="23" t="s">
        <v>47</v>
      </c>
      <c r="E191" s="18">
        <v>9099300</v>
      </c>
      <c r="F191" s="13">
        <f>G191</f>
        <v>0</v>
      </c>
      <c r="G191" s="13"/>
      <c r="H191" s="19">
        <f>E191+F191</f>
        <v>9099300</v>
      </c>
      <c r="I191" s="18">
        <v>110000</v>
      </c>
      <c r="J191" s="13">
        <f>K191+L191</f>
        <v>0</v>
      </c>
      <c r="K191" s="13"/>
      <c r="L191" s="13"/>
      <c r="M191" s="13"/>
      <c r="N191" s="13"/>
      <c r="O191" s="19">
        <f>I191+J191</f>
        <v>110000</v>
      </c>
      <c r="P191" s="18">
        <f t="shared" ref="P191:P261" si="52">E191+I191</f>
        <v>9209300</v>
      </c>
      <c r="Q191" s="13">
        <f t="shared" ref="Q191:Q261" si="53">F191+J191</f>
        <v>0</v>
      </c>
      <c r="R191" s="19">
        <f t="shared" ref="R191:R261" si="54">H191+O191</f>
        <v>9209300</v>
      </c>
    </row>
    <row r="192" spans="1:18" s="20" customFormat="1" ht="17.45" customHeight="1" x14ac:dyDescent="0.2">
      <c r="A192" s="16" t="s">
        <v>343</v>
      </c>
      <c r="B192" s="17" t="s">
        <v>49</v>
      </c>
      <c r="C192" s="17" t="s">
        <v>53</v>
      </c>
      <c r="D192" s="23" t="s">
        <v>264</v>
      </c>
      <c r="E192" s="18">
        <v>3300000</v>
      </c>
      <c r="F192" s="13">
        <f t="shared" ref="F192:F199" si="55">G192</f>
        <v>43200</v>
      </c>
      <c r="G192" s="13">
        <f>1200+42000</f>
        <v>43200</v>
      </c>
      <c r="H192" s="19">
        <f t="shared" ref="H192:H199" si="56">E192+F192</f>
        <v>3343200</v>
      </c>
      <c r="I192" s="18">
        <v>2855000</v>
      </c>
      <c r="J192" s="13">
        <f>K192+L192</f>
        <v>1900000</v>
      </c>
      <c r="K192" s="13"/>
      <c r="L192" s="13">
        <f>1900000</f>
        <v>1900000</v>
      </c>
      <c r="M192" s="13">
        <f>1900000</f>
        <v>1900000</v>
      </c>
      <c r="N192" s="13"/>
      <c r="O192" s="19">
        <f t="shared" ref="O192:O201" si="57">I192+J192</f>
        <v>4755000</v>
      </c>
      <c r="P192" s="18">
        <f t="shared" si="52"/>
        <v>6155000</v>
      </c>
      <c r="Q192" s="13">
        <f t="shared" si="53"/>
        <v>1943200</v>
      </c>
      <c r="R192" s="19">
        <f t="shared" si="54"/>
        <v>8098200</v>
      </c>
    </row>
    <row r="193" spans="1:18" s="20" customFormat="1" ht="24" customHeight="1" x14ac:dyDescent="0.2">
      <c r="A193" s="16" t="s">
        <v>356</v>
      </c>
      <c r="B193" s="17" t="s">
        <v>357</v>
      </c>
      <c r="C193" s="17" t="s">
        <v>76</v>
      </c>
      <c r="D193" s="23" t="s">
        <v>358</v>
      </c>
      <c r="E193" s="18">
        <v>1513146</v>
      </c>
      <c r="F193" s="13">
        <f t="shared" si="55"/>
        <v>74713</v>
      </c>
      <c r="G193" s="13">
        <f>55000+19713</f>
        <v>74713</v>
      </c>
      <c r="H193" s="19">
        <f t="shared" si="56"/>
        <v>1587859</v>
      </c>
      <c r="I193" s="18">
        <v>3547000</v>
      </c>
      <c r="J193" s="13">
        <f t="shared" ref="J193:J201" si="58">K193+L193</f>
        <v>140700</v>
      </c>
      <c r="K193" s="13"/>
      <c r="L193" s="13">
        <f>140700</f>
        <v>140700</v>
      </c>
      <c r="M193" s="13">
        <f>140700</f>
        <v>140700</v>
      </c>
      <c r="N193" s="13">
        <f>140700</f>
        <v>140700</v>
      </c>
      <c r="O193" s="19">
        <f t="shared" si="57"/>
        <v>3687700</v>
      </c>
      <c r="P193" s="18">
        <f t="shared" si="52"/>
        <v>5060146</v>
      </c>
      <c r="Q193" s="13">
        <f t="shared" si="53"/>
        <v>215413</v>
      </c>
      <c r="R193" s="19">
        <f t="shared" si="54"/>
        <v>5275559</v>
      </c>
    </row>
    <row r="194" spans="1:18" s="20" customFormat="1" ht="21" hidden="1" customHeight="1" x14ac:dyDescent="0.2">
      <c r="A194" s="16">
        <v>4116021</v>
      </c>
      <c r="B194" s="17">
        <v>6021</v>
      </c>
      <c r="C194" s="17" t="s">
        <v>75</v>
      </c>
      <c r="D194" s="23" t="s">
        <v>48</v>
      </c>
      <c r="E194" s="18">
        <v>0</v>
      </c>
      <c r="F194" s="13">
        <f t="shared" si="55"/>
        <v>0</v>
      </c>
      <c r="G194" s="13"/>
      <c r="H194" s="19">
        <f t="shared" si="56"/>
        <v>0</v>
      </c>
      <c r="I194" s="18">
        <v>0</v>
      </c>
      <c r="J194" s="13">
        <f t="shared" si="58"/>
        <v>0</v>
      </c>
      <c r="K194" s="13"/>
      <c r="L194" s="13"/>
      <c r="M194" s="13"/>
      <c r="N194" s="13"/>
      <c r="O194" s="19">
        <f t="shared" si="57"/>
        <v>0</v>
      </c>
      <c r="P194" s="18">
        <f t="shared" si="52"/>
        <v>0</v>
      </c>
      <c r="Q194" s="13">
        <f t="shared" si="53"/>
        <v>0</v>
      </c>
      <c r="R194" s="19">
        <f t="shared" si="54"/>
        <v>0</v>
      </c>
    </row>
    <row r="195" spans="1:18" s="20" customFormat="1" ht="31.5" customHeight="1" x14ac:dyDescent="0.2">
      <c r="A195" s="16" t="s">
        <v>199</v>
      </c>
      <c r="B195" s="17" t="s">
        <v>163</v>
      </c>
      <c r="C195" s="17" t="s">
        <v>76</v>
      </c>
      <c r="D195" s="23" t="s">
        <v>164</v>
      </c>
      <c r="E195" s="18">
        <v>4200000</v>
      </c>
      <c r="F195" s="13">
        <f t="shared" si="55"/>
        <v>0</v>
      </c>
      <c r="G195" s="13"/>
      <c r="H195" s="19">
        <f t="shared" si="56"/>
        <v>4200000</v>
      </c>
      <c r="I195" s="18">
        <v>0</v>
      </c>
      <c r="J195" s="13">
        <f t="shared" si="58"/>
        <v>0</v>
      </c>
      <c r="K195" s="13"/>
      <c r="L195" s="13"/>
      <c r="M195" s="13"/>
      <c r="N195" s="13"/>
      <c r="O195" s="19">
        <f t="shared" si="57"/>
        <v>0</v>
      </c>
      <c r="P195" s="18">
        <f t="shared" si="52"/>
        <v>4200000</v>
      </c>
      <c r="Q195" s="13">
        <f t="shared" si="53"/>
        <v>0</v>
      </c>
      <c r="R195" s="19">
        <f t="shared" si="54"/>
        <v>4200000</v>
      </c>
    </row>
    <row r="196" spans="1:18" s="20" customFormat="1" ht="19.5" customHeight="1" x14ac:dyDescent="0.2">
      <c r="A196" s="16" t="s">
        <v>200</v>
      </c>
      <c r="B196" s="17" t="s">
        <v>165</v>
      </c>
      <c r="C196" s="17" t="s">
        <v>76</v>
      </c>
      <c r="D196" s="23" t="s">
        <v>166</v>
      </c>
      <c r="E196" s="18">
        <v>82086000</v>
      </c>
      <c r="F196" s="13">
        <f t="shared" si="55"/>
        <v>-6003200</v>
      </c>
      <c r="G196" s="13">
        <f>-1200-6640000+40000+398000+200000</f>
        <v>-6003200</v>
      </c>
      <c r="H196" s="19">
        <f t="shared" si="56"/>
        <v>76082800</v>
      </c>
      <c r="I196" s="18">
        <v>164022578</v>
      </c>
      <c r="J196" s="13">
        <f t="shared" si="58"/>
        <v>-3952400</v>
      </c>
      <c r="K196" s="13"/>
      <c r="L196" s="13">
        <f>-3597400-355000</f>
        <v>-3952400</v>
      </c>
      <c r="M196" s="13">
        <f>-3597400-355000</f>
        <v>-3952400</v>
      </c>
      <c r="N196" s="13">
        <f>-3597400-355000</f>
        <v>-3952400</v>
      </c>
      <c r="O196" s="19">
        <f>I196+J196</f>
        <v>160070178</v>
      </c>
      <c r="P196" s="18">
        <f t="shared" si="52"/>
        <v>246108578</v>
      </c>
      <c r="Q196" s="13">
        <f t="shared" si="53"/>
        <v>-9955600</v>
      </c>
      <c r="R196" s="19">
        <f>H196+O196</f>
        <v>236152978</v>
      </c>
    </row>
    <row r="197" spans="1:18" s="20" customFormat="1" ht="21.95" customHeight="1" x14ac:dyDescent="0.2">
      <c r="A197" s="16" t="s">
        <v>359</v>
      </c>
      <c r="B197" s="17" t="s">
        <v>360</v>
      </c>
      <c r="C197" s="17" t="s">
        <v>320</v>
      </c>
      <c r="D197" s="23" t="s">
        <v>361</v>
      </c>
      <c r="E197" s="18">
        <v>0</v>
      </c>
      <c r="F197" s="13">
        <f t="shared" si="55"/>
        <v>0</v>
      </c>
      <c r="G197" s="13"/>
      <c r="H197" s="19">
        <f t="shared" si="56"/>
        <v>0</v>
      </c>
      <c r="I197" s="18">
        <v>98107750</v>
      </c>
      <c r="J197" s="13">
        <f t="shared" si="58"/>
        <v>2370000</v>
      </c>
      <c r="K197" s="13"/>
      <c r="L197" s="13">
        <f>2220000+150000</f>
        <v>2370000</v>
      </c>
      <c r="M197" s="13">
        <f>2220000+150000</f>
        <v>2370000</v>
      </c>
      <c r="N197" s="13">
        <f>2220000</f>
        <v>2220000</v>
      </c>
      <c r="O197" s="19">
        <f t="shared" si="57"/>
        <v>100477750</v>
      </c>
      <c r="P197" s="18">
        <f t="shared" si="52"/>
        <v>98107750</v>
      </c>
      <c r="Q197" s="13">
        <f t="shared" si="53"/>
        <v>2370000</v>
      </c>
      <c r="R197" s="19">
        <f t="shared" si="54"/>
        <v>100477750</v>
      </c>
    </row>
    <row r="198" spans="1:18" s="20" customFormat="1" ht="37.5" customHeight="1" x14ac:dyDescent="0.2">
      <c r="A198" s="16" t="s">
        <v>514</v>
      </c>
      <c r="B198" s="55" t="s">
        <v>504</v>
      </c>
      <c r="C198" s="55" t="s">
        <v>77</v>
      </c>
      <c r="D198" s="56" t="s">
        <v>505</v>
      </c>
      <c r="E198" s="18"/>
      <c r="F198" s="13"/>
      <c r="G198" s="13"/>
      <c r="H198" s="19"/>
      <c r="I198" s="18">
        <v>15377</v>
      </c>
      <c r="J198" s="13">
        <f t="shared" si="58"/>
        <v>0</v>
      </c>
      <c r="K198" s="13"/>
      <c r="L198" s="13"/>
      <c r="M198" s="13"/>
      <c r="N198" s="13"/>
      <c r="O198" s="19">
        <f t="shared" si="57"/>
        <v>15377</v>
      </c>
      <c r="P198" s="18">
        <f>E198+I198</f>
        <v>15377</v>
      </c>
      <c r="Q198" s="13">
        <f>F198+J198</f>
        <v>0</v>
      </c>
      <c r="R198" s="19">
        <f>H198+O198</f>
        <v>15377</v>
      </c>
    </row>
    <row r="199" spans="1:18" s="20" customFormat="1" ht="25.5" customHeight="1" x14ac:dyDescent="0.2">
      <c r="A199" s="16" t="s">
        <v>201</v>
      </c>
      <c r="B199" s="17" t="s">
        <v>146</v>
      </c>
      <c r="C199" s="17" t="s">
        <v>77</v>
      </c>
      <c r="D199" s="23" t="s">
        <v>39</v>
      </c>
      <c r="E199" s="18">
        <v>0</v>
      </c>
      <c r="F199" s="13">
        <f t="shared" si="55"/>
        <v>0</v>
      </c>
      <c r="G199" s="13"/>
      <c r="H199" s="19">
        <f t="shared" si="56"/>
        <v>0</v>
      </c>
      <c r="I199" s="18">
        <v>87737700</v>
      </c>
      <c r="J199" s="13">
        <f t="shared" si="58"/>
        <v>5089000</v>
      </c>
      <c r="K199" s="13"/>
      <c r="L199" s="13">
        <f>5089000</f>
        <v>5089000</v>
      </c>
      <c r="M199" s="13">
        <f>5089000</f>
        <v>5089000</v>
      </c>
      <c r="N199" s="13">
        <f>5089000</f>
        <v>5089000</v>
      </c>
      <c r="O199" s="19">
        <f t="shared" si="57"/>
        <v>92826700</v>
      </c>
      <c r="P199" s="18">
        <f t="shared" si="52"/>
        <v>87737700</v>
      </c>
      <c r="Q199" s="13">
        <f t="shared" si="53"/>
        <v>5089000</v>
      </c>
      <c r="R199" s="19">
        <f t="shared" si="54"/>
        <v>92826700</v>
      </c>
    </row>
    <row r="200" spans="1:18" s="20" customFormat="1" ht="82.5" customHeight="1" x14ac:dyDescent="0.2">
      <c r="A200" s="16" t="s">
        <v>440</v>
      </c>
      <c r="B200" s="17" t="s">
        <v>434</v>
      </c>
      <c r="C200" s="17" t="s">
        <v>77</v>
      </c>
      <c r="D200" s="23" t="s">
        <v>435</v>
      </c>
      <c r="E200" s="18"/>
      <c r="F200" s="13"/>
      <c r="G200" s="13"/>
      <c r="H200" s="19"/>
      <c r="I200" s="18">
        <v>300000</v>
      </c>
      <c r="J200" s="13">
        <f t="shared" si="58"/>
        <v>0</v>
      </c>
      <c r="K200" s="13"/>
      <c r="L200" s="13"/>
      <c r="M200" s="13"/>
      <c r="N200" s="13"/>
      <c r="O200" s="19">
        <f t="shared" si="57"/>
        <v>300000</v>
      </c>
      <c r="P200" s="18">
        <f t="shared" si="52"/>
        <v>300000</v>
      </c>
      <c r="Q200" s="13">
        <f t="shared" si="53"/>
        <v>0</v>
      </c>
      <c r="R200" s="19">
        <f t="shared" si="54"/>
        <v>300000</v>
      </c>
    </row>
    <row r="201" spans="1:18" s="20" customFormat="1" ht="24" customHeight="1" x14ac:dyDescent="0.2">
      <c r="A201" s="16">
        <v>1218340</v>
      </c>
      <c r="B201" s="17" t="s">
        <v>389</v>
      </c>
      <c r="C201" s="17" t="s">
        <v>390</v>
      </c>
      <c r="D201" s="23" t="s">
        <v>391</v>
      </c>
      <c r="E201" s="18"/>
      <c r="F201" s="13"/>
      <c r="G201" s="13"/>
      <c r="H201" s="19"/>
      <c r="I201" s="18">
        <v>200000</v>
      </c>
      <c r="J201" s="13">
        <f t="shared" si="58"/>
        <v>0</v>
      </c>
      <c r="K201" s="13"/>
      <c r="L201" s="13"/>
      <c r="M201" s="13"/>
      <c r="N201" s="13"/>
      <c r="O201" s="19">
        <f t="shared" si="57"/>
        <v>200000</v>
      </c>
      <c r="P201" s="18">
        <f t="shared" si="52"/>
        <v>200000</v>
      </c>
      <c r="Q201" s="13">
        <f t="shared" si="53"/>
        <v>0</v>
      </c>
      <c r="R201" s="19">
        <f t="shared" si="54"/>
        <v>200000</v>
      </c>
    </row>
    <row r="202" spans="1:18" s="9" customFormat="1" ht="28.5" customHeight="1" x14ac:dyDescent="0.2">
      <c r="A202" s="29" t="s">
        <v>338</v>
      </c>
      <c r="B202" s="11"/>
      <c r="C202" s="11"/>
      <c r="D202" s="95" t="s">
        <v>24</v>
      </c>
      <c r="E202" s="96">
        <v>1956000</v>
      </c>
      <c r="F202" s="97">
        <f>F204+F205+F223</f>
        <v>0</v>
      </c>
      <c r="G202" s="97">
        <f>G204+G205+G223</f>
        <v>0</v>
      </c>
      <c r="H202" s="101">
        <f>H204+H205+H223</f>
        <v>1956000</v>
      </c>
      <c r="I202" s="96">
        <v>896423122</v>
      </c>
      <c r="J202" s="97">
        <f t="shared" ref="J202:O202" si="59">SUM(J204:J224)</f>
        <v>15450614</v>
      </c>
      <c r="K202" s="97">
        <f t="shared" si="59"/>
        <v>0</v>
      </c>
      <c r="L202" s="97">
        <f t="shared" si="59"/>
        <v>15450614</v>
      </c>
      <c r="M202" s="97">
        <f t="shared" si="59"/>
        <v>15450614</v>
      </c>
      <c r="N202" s="97">
        <f t="shared" si="59"/>
        <v>15400614</v>
      </c>
      <c r="O202" s="101">
        <f t="shared" si="59"/>
        <v>911873736</v>
      </c>
      <c r="P202" s="96">
        <f>E202+I202</f>
        <v>898379122</v>
      </c>
      <c r="Q202" s="97">
        <f>F202+J202</f>
        <v>15450614</v>
      </c>
      <c r="R202" s="101">
        <f>H202+O202</f>
        <v>913829736</v>
      </c>
    </row>
    <row r="203" spans="1:18" s="9" customFormat="1" ht="25.5" x14ac:dyDescent="0.2">
      <c r="A203" s="29" t="s">
        <v>339</v>
      </c>
      <c r="B203" s="11"/>
      <c r="C203" s="11"/>
      <c r="D203" s="95" t="s">
        <v>24</v>
      </c>
      <c r="E203" s="96"/>
      <c r="F203" s="97"/>
      <c r="G203" s="97"/>
      <c r="H203" s="98"/>
      <c r="I203" s="99"/>
      <c r="J203" s="100"/>
      <c r="K203" s="97"/>
      <c r="L203" s="97"/>
      <c r="M203" s="97"/>
      <c r="N203" s="97"/>
      <c r="O203" s="101"/>
      <c r="P203" s="107"/>
      <c r="Q203" s="100"/>
      <c r="R203" s="102"/>
    </row>
    <row r="204" spans="1:18" s="20" customFormat="1" ht="24.75" customHeight="1" x14ac:dyDescent="0.2">
      <c r="A204" s="16" t="s">
        <v>340</v>
      </c>
      <c r="B204" s="17" t="s">
        <v>123</v>
      </c>
      <c r="C204" s="17" t="s">
        <v>66</v>
      </c>
      <c r="D204" s="23" t="s">
        <v>25</v>
      </c>
      <c r="E204" s="18">
        <v>1956000</v>
      </c>
      <c r="F204" s="13">
        <f>G204</f>
        <v>0</v>
      </c>
      <c r="G204" s="13"/>
      <c r="H204" s="19">
        <f>E204+F204</f>
        <v>1956000</v>
      </c>
      <c r="I204" s="18">
        <v>0</v>
      </c>
      <c r="J204" s="13">
        <f t="shared" ref="J204:J224" si="60">K204+L204</f>
        <v>0</v>
      </c>
      <c r="K204" s="13"/>
      <c r="L204" s="13"/>
      <c r="M204" s="13"/>
      <c r="N204" s="13"/>
      <c r="O204" s="19">
        <f>I204+J204</f>
        <v>0</v>
      </c>
      <c r="P204" s="18">
        <f t="shared" si="52"/>
        <v>1956000</v>
      </c>
      <c r="Q204" s="13">
        <f t="shared" si="53"/>
        <v>0</v>
      </c>
      <c r="R204" s="19">
        <f t="shared" si="54"/>
        <v>1956000</v>
      </c>
    </row>
    <row r="205" spans="1:18" s="20" customFormat="1" ht="24" customHeight="1" x14ac:dyDescent="0.2">
      <c r="A205" s="24" t="s">
        <v>351</v>
      </c>
      <c r="B205" s="17" t="s">
        <v>49</v>
      </c>
      <c r="C205" s="17" t="s">
        <v>53</v>
      </c>
      <c r="D205" s="23" t="s">
        <v>264</v>
      </c>
      <c r="E205" s="18">
        <v>0</v>
      </c>
      <c r="F205" s="13">
        <f t="shared" ref="F205:F223" si="61">G205</f>
        <v>0</v>
      </c>
      <c r="G205" s="13"/>
      <c r="H205" s="19">
        <f t="shared" ref="H205:H223" si="62">E205+F205</f>
        <v>0</v>
      </c>
      <c r="I205" s="18">
        <v>5200000</v>
      </c>
      <c r="J205" s="13">
        <f t="shared" si="60"/>
        <v>0</v>
      </c>
      <c r="K205" s="13"/>
      <c r="L205" s="13"/>
      <c r="M205" s="13"/>
      <c r="N205" s="13"/>
      <c r="O205" s="19">
        <f t="shared" ref="O205:O224" si="63">I205+J205</f>
        <v>5200000</v>
      </c>
      <c r="P205" s="18">
        <f t="shared" si="52"/>
        <v>5200000</v>
      </c>
      <c r="Q205" s="13">
        <f t="shared" si="53"/>
        <v>0</v>
      </c>
      <c r="R205" s="19">
        <f t="shared" si="54"/>
        <v>5200000</v>
      </c>
    </row>
    <row r="206" spans="1:18" s="20" customFormat="1" ht="12" x14ac:dyDescent="0.2">
      <c r="A206" s="24" t="s">
        <v>362</v>
      </c>
      <c r="B206" s="17" t="s">
        <v>103</v>
      </c>
      <c r="C206" s="17" t="s">
        <v>84</v>
      </c>
      <c r="D206" s="23" t="s">
        <v>147</v>
      </c>
      <c r="E206" s="18">
        <v>0</v>
      </c>
      <c r="F206" s="13">
        <f t="shared" si="61"/>
        <v>0</v>
      </c>
      <c r="G206" s="13"/>
      <c r="H206" s="19">
        <f t="shared" si="62"/>
        <v>0</v>
      </c>
      <c r="I206" s="18">
        <v>3000000</v>
      </c>
      <c r="J206" s="13">
        <f t="shared" si="60"/>
        <v>0</v>
      </c>
      <c r="K206" s="13"/>
      <c r="L206" s="13"/>
      <c r="M206" s="13"/>
      <c r="N206" s="13"/>
      <c r="O206" s="19">
        <f t="shared" si="63"/>
        <v>3000000</v>
      </c>
      <c r="P206" s="18">
        <f t="shared" si="52"/>
        <v>3000000</v>
      </c>
      <c r="Q206" s="13">
        <f t="shared" si="53"/>
        <v>0</v>
      </c>
      <c r="R206" s="19">
        <f t="shared" si="54"/>
        <v>3000000</v>
      </c>
    </row>
    <row r="207" spans="1:18" s="20" customFormat="1" ht="48" x14ac:dyDescent="0.2">
      <c r="A207" s="24" t="s">
        <v>363</v>
      </c>
      <c r="B207" s="17" t="s">
        <v>104</v>
      </c>
      <c r="C207" s="17" t="s">
        <v>85</v>
      </c>
      <c r="D207" s="23" t="s">
        <v>364</v>
      </c>
      <c r="E207" s="18">
        <v>0</v>
      </c>
      <c r="F207" s="13">
        <f t="shared" si="61"/>
        <v>0</v>
      </c>
      <c r="G207" s="13"/>
      <c r="H207" s="19">
        <f t="shared" si="62"/>
        <v>0</v>
      </c>
      <c r="I207" s="18">
        <v>11620000</v>
      </c>
      <c r="J207" s="13">
        <f t="shared" si="60"/>
        <v>0</v>
      </c>
      <c r="K207" s="13"/>
      <c r="L207" s="13"/>
      <c r="M207" s="13"/>
      <c r="N207" s="13"/>
      <c r="O207" s="19">
        <f t="shared" si="63"/>
        <v>11620000</v>
      </c>
      <c r="P207" s="18">
        <f t="shared" si="52"/>
        <v>11620000</v>
      </c>
      <c r="Q207" s="13">
        <f t="shared" si="53"/>
        <v>0</v>
      </c>
      <c r="R207" s="19">
        <f t="shared" si="54"/>
        <v>11620000</v>
      </c>
    </row>
    <row r="208" spans="1:18" s="20" customFormat="1" ht="24" x14ac:dyDescent="0.2">
      <c r="A208" s="57" t="s">
        <v>365</v>
      </c>
      <c r="B208" s="55" t="s">
        <v>366</v>
      </c>
      <c r="C208" s="55" t="s">
        <v>60</v>
      </c>
      <c r="D208" s="88" t="s">
        <v>36</v>
      </c>
      <c r="E208" s="18">
        <v>0</v>
      </c>
      <c r="F208" s="13">
        <f t="shared" si="61"/>
        <v>0</v>
      </c>
      <c r="G208" s="13"/>
      <c r="H208" s="19">
        <f t="shared" si="62"/>
        <v>0</v>
      </c>
      <c r="I208" s="18">
        <v>4250000</v>
      </c>
      <c r="J208" s="13">
        <f t="shared" si="60"/>
        <v>0</v>
      </c>
      <c r="K208" s="13"/>
      <c r="L208" s="13"/>
      <c r="M208" s="13"/>
      <c r="N208" s="13"/>
      <c r="O208" s="19">
        <f t="shared" si="63"/>
        <v>4250000</v>
      </c>
      <c r="P208" s="18">
        <f t="shared" si="52"/>
        <v>4250000</v>
      </c>
      <c r="Q208" s="13">
        <f t="shared" si="53"/>
        <v>0</v>
      </c>
      <c r="R208" s="19">
        <f t="shared" si="54"/>
        <v>4250000</v>
      </c>
    </row>
    <row r="209" spans="1:18" s="20" customFormat="1" ht="24" x14ac:dyDescent="0.2">
      <c r="A209" s="57" t="s">
        <v>367</v>
      </c>
      <c r="B209" s="55" t="s">
        <v>159</v>
      </c>
      <c r="C209" s="55" t="s">
        <v>61</v>
      </c>
      <c r="D209" s="88" t="s">
        <v>368</v>
      </c>
      <c r="E209" s="18">
        <v>0</v>
      </c>
      <c r="F209" s="13">
        <f t="shared" si="61"/>
        <v>0</v>
      </c>
      <c r="G209" s="13"/>
      <c r="H209" s="19">
        <f t="shared" si="62"/>
        <v>0</v>
      </c>
      <c r="I209" s="18">
        <v>11225000</v>
      </c>
      <c r="J209" s="13">
        <f t="shared" si="60"/>
        <v>0</v>
      </c>
      <c r="K209" s="13"/>
      <c r="L209" s="13"/>
      <c r="M209" s="13"/>
      <c r="N209" s="13"/>
      <c r="O209" s="19">
        <f t="shared" si="63"/>
        <v>11225000</v>
      </c>
      <c r="P209" s="18">
        <f t="shared" si="52"/>
        <v>11225000</v>
      </c>
      <c r="Q209" s="13">
        <f t="shared" si="53"/>
        <v>0</v>
      </c>
      <c r="R209" s="19">
        <f t="shared" si="54"/>
        <v>11225000</v>
      </c>
    </row>
    <row r="210" spans="1:18" s="20" customFormat="1" ht="24" x14ac:dyDescent="0.2">
      <c r="A210" s="57" t="s">
        <v>369</v>
      </c>
      <c r="B210" s="55" t="s">
        <v>160</v>
      </c>
      <c r="C210" s="55" t="s">
        <v>62</v>
      </c>
      <c r="D210" s="88" t="s">
        <v>424</v>
      </c>
      <c r="E210" s="18">
        <v>0</v>
      </c>
      <c r="F210" s="13">
        <f t="shared" si="61"/>
        <v>0</v>
      </c>
      <c r="G210" s="13"/>
      <c r="H210" s="19">
        <f t="shared" si="62"/>
        <v>0</v>
      </c>
      <c r="I210" s="18">
        <v>2100000</v>
      </c>
      <c r="J210" s="13">
        <f t="shared" si="60"/>
        <v>0</v>
      </c>
      <c r="K210" s="13"/>
      <c r="L210" s="13"/>
      <c r="M210" s="13"/>
      <c r="N210" s="13"/>
      <c r="O210" s="19">
        <f t="shared" si="63"/>
        <v>2100000</v>
      </c>
      <c r="P210" s="18">
        <f t="shared" si="52"/>
        <v>2100000</v>
      </c>
      <c r="Q210" s="13">
        <f t="shared" si="53"/>
        <v>0</v>
      </c>
      <c r="R210" s="19">
        <f t="shared" si="54"/>
        <v>2100000</v>
      </c>
    </row>
    <row r="211" spans="1:18" s="20" customFormat="1" ht="24" x14ac:dyDescent="0.2">
      <c r="A211" s="89">
        <v>1514060</v>
      </c>
      <c r="B211" s="17" t="s">
        <v>96</v>
      </c>
      <c r="C211" s="17" t="s">
        <v>98</v>
      </c>
      <c r="D211" s="21" t="s">
        <v>370</v>
      </c>
      <c r="E211" s="18">
        <v>0</v>
      </c>
      <c r="F211" s="13">
        <f t="shared" si="61"/>
        <v>0</v>
      </c>
      <c r="G211" s="13"/>
      <c r="H211" s="19">
        <f t="shared" si="62"/>
        <v>0</v>
      </c>
      <c r="I211" s="18">
        <v>2500000</v>
      </c>
      <c r="J211" s="13">
        <f t="shared" si="60"/>
        <v>6350200</v>
      </c>
      <c r="K211" s="13"/>
      <c r="L211" s="13">
        <f>6350200</f>
        <v>6350200</v>
      </c>
      <c r="M211" s="13">
        <f>6350200</f>
        <v>6350200</v>
      </c>
      <c r="N211" s="13">
        <f>6350200</f>
        <v>6350200</v>
      </c>
      <c r="O211" s="19">
        <f t="shared" si="63"/>
        <v>8850200</v>
      </c>
      <c r="P211" s="18">
        <f t="shared" si="52"/>
        <v>2500000</v>
      </c>
      <c r="Q211" s="13">
        <f t="shared" si="53"/>
        <v>6350200</v>
      </c>
      <c r="R211" s="19">
        <f t="shared" si="54"/>
        <v>8850200</v>
      </c>
    </row>
    <row r="212" spans="1:18" s="20" customFormat="1" ht="12" x14ac:dyDescent="0.2">
      <c r="A212" s="89">
        <v>1515041</v>
      </c>
      <c r="B212" s="17" t="s">
        <v>393</v>
      </c>
      <c r="C212" s="17" t="s">
        <v>91</v>
      </c>
      <c r="D212" s="23" t="s">
        <v>392</v>
      </c>
      <c r="E212" s="18"/>
      <c r="F212" s="13"/>
      <c r="G212" s="13"/>
      <c r="H212" s="19"/>
      <c r="I212" s="18">
        <v>300000</v>
      </c>
      <c r="J212" s="13">
        <f t="shared" si="60"/>
        <v>100000</v>
      </c>
      <c r="K212" s="13"/>
      <c r="L212" s="13">
        <f>100000</f>
        <v>100000</v>
      </c>
      <c r="M212" s="13">
        <f>100000</f>
        <v>100000</v>
      </c>
      <c r="N212" s="13">
        <f>100000</f>
        <v>100000</v>
      </c>
      <c r="O212" s="19">
        <f t="shared" si="63"/>
        <v>400000</v>
      </c>
      <c r="P212" s="18">
        <f t="shared" si="52"/>
        <v>300000</v>
      </c>
      <c r="Q212" s="13">
        <f t="shared" si="53"/>
        <v>100000</v>
      </c>
      <c r="R212" s="19">
        <f t="shared" si="54"/>
        <v>400000</v>
      </c>
    </row>
    <row r="213" spans="1:18" s="20" customFormat="1" ht="16.5" customHeight="1" x14ac:dyDescent="0.2">
      <c r="A213" s="24" t="s">
        <v>371</v>
      </c>
      <c r="B213" s="17" t="s">
        <v>165</v>
      </c>
      <c r="C213" s="17" t="s">
        <v>76</v>
      </c>
      <c r="D213" s="21" t="s">
        <v>166</v>
      </c>
      <c r="E213" s="18">
        <v>0</v>
      </c>
      <c r="F213" s="13">
        <f t="shared" si="61"/>
        <v>0</v>
      </c>
      <c r="G213" s="13"/>
      <c r="H213" s="19">
        <f t="shared" si="62"/>
        <v>0</v>
      </c>
      <c r="I213" s="18">
        <v>104751800</v>
      </c>
      <c r="J213" s="13">
        <f t="shared" si="60"/>
        <v>21860000</v>
      </c>
      <c r="K213" s="13"/>
      <c r="L213" s="13">
        <f>6860000+15000000</f>
        <v>21860000</v>
      </c>
      <c r="M213" s="13">
        <f>6860000+15000000</f>
        <v>21860000</v>
      </c>
      <c r="N213" s="13">
        <f>6860000+15000000</f>
        <v>21860000</v>
      </c>
      <c r="O213" s="19">
        <f t="shared" si="63"/>
        <v>126611800</v>
      </c>
      <c r="P213" s="18">
        <f t="shared" si="52"/>
        <v>104751800</v>
      </c>
      <c r="Q213" s="13">
        <f t="shared" si="53"/>
        <v>21860000</v>
      </c>
      <c r="R213" s="19">
        <f t="shared" si="54"/>
        <v>126611800</v>
      </c>
    </row>
    <row r="214" spans="1:18" s="20" customFormat="1" ht="24" x14ac:dyDescent="0.2">
      <c r="A214" s="24" t="s">
        <v>372</v>
      </c>
      <c r="B214" s="17" t="s">
        <v>360</v>
      </c>
      <c r="C214" s="17" t="s">
        <v>320</v>
      </c>
      <c r="D214" s="23" t="s">
        <v>361</v>
      </c>
      <c r="E214" s="18">
        <v>0</v>
      </c>
      <c r="F214" s="13">
        <f t="shared" si="61"/>
        <v>0</v>
      </c>
      <c r="G214" s="13"/>
      <c r="H214" s="19">
        <f t="shared" si="62"/>
        <v>0</v>
      </c>
      <c r="I214" s="18">
        <v>222769900</v>
      </c>
      <c r="J214" s="13">
        <f t="shared" si="60"/>
        <v>5235000</v>
      </c>
      <c r="K214" s="13"/>
      <c r="L214" s="13">
        <f>5235000</f>
        <v>5235000</v>
      </c>
      <c r="M214" s="13">
        <f>5235000</f>
        <v>5235000</v>
      </c>
      <c r="N214" s="13">
        <f>5235000</f>
        <v>5235000</v>
      </c>
      <c r="O214" s="19">
        <f t="shared" si="63"/>
        <v>228004900</v>
      </c>
      <c r="P214" s="18">
        <f t="shared" si="52"/>
        <v>222769900</v>
      </c>
      <c r="Q214" s="13">
        <f t="shared" si="53"/>
        <v>5235000</v>
      </c>
      <c r="R214" s="19">
        <f t="shared" si="54"/>
        <v>228004900</v>
      </c>
    </row>
    <row r="215" spans="1:18" s="20" customFormat="1" ht="16.5" customHeight="1" x14ac:dyDescent="0.2">
      <c r="A215" s="24" t="s">
        <v>373</v>
      </c>
      <c r="B215" s="17" t="s">
        <v>374</v>
      </c>
      <c r="C215" s="17" t="s">
        <v>320</v>
      </c>
      <c r="D215" s="23" t="s">
        <v>375</v>
      </c>
      <c r="E215" s="18">
        <v>0</v>
      </c>
      <c r="F215" s="13">
        <f t="shared" si="61"/>
        <v>0</v>
      </c>
      <c r="G215" s="13"/>
      <c r="H215" s="19">
        <f t="shared" si="62"/>
        <v>0</v>
      </c>
      <c r="I215" s="18">
        <v>59978300</v>
      </c>
      <c r="J215" s="13">
        <f t="shared" si="60"/>
        <v>-250100</v>
      </c>
      <c r="K215" s="13"/>
      <c r="L215" s="13">
        <f>-250100</f>
        <v>-250100</v>
      </c>
      <c r="M215" s="13">
        <f>-250100</f>
        <v>-250100</v>
      </c>
      <c r="N215" s="13">
        <f>-250100</f>
        <v>-250100</v>
      </c>
      <c r="O215" s="19">
        <f t="shared" si="63"/>
        <v>59728200</v>
      </c>
      <c r="P215" s="18">
        <f t="shared" si="52"/>
        <v>59978300</v>
      </c>
      <c r="Q215" s="13">
        <f t="shared" si="53"/>
        <v>-250100</v>
      </c>
      <c r="R215" s="19">
        <f t="shared" si="54"/>
        <v>59728200</v>
      </c>
    </row>
    <row r="216" spans="1:18" s="20" customFormat="1" ht="16.5" customHeight="1" x14ac:dyDescent="0.2">
      <c r="A216" s="24" t="s">
        <v>516</v>
      </c>
      <c r="B216" s="17" t="s">
        <v>515</v>
      </c>
      <c r="C216" s="17" t="s">
        <v>320</v>
      </c>
      <c r="D216" s="23" t="s">
        <v>517</v>
      </c>
      <c r="E216" s="18"/>
      <c r="F216" s="13"/>
      <c r="G216" s="13"/>
      <c r="H216" s="19"/>
      <c r="I216" s="18">
        <v>49000</v>
      </c>
      <c r="J216" s="13">
        <f t="shared" si="60"/>
        <v>0</v>
      </c>
      <c r="K216" s="13"/>
      <c r="L216" s="13"/>
      <c r="M216" s="13"/>
      <c r="N216" s="13"/>
      <c r="O216" s="19">
        <f t="shared" si="63"/>
        <v>49000</v>
      </c>
      <c r="P216" s="18">
        <f>E216+I216</f>
        <v>49000</v>
      </c>
      <c r="Q216" s="13">
        <f>F216+J216</f>
        <v>0</v>
      </c>
      <c r="R216" s="19">
        <f>H216+O216</f>
        <v>49000</v>
      </c>
    </row>
    <row r="217" spans="1:18" s="20" customFormat="1" ht="16.5" customHeight="1" x14ac:dyDescent="0.2">
      <c r="A217" s="24" t="s">
        <v>376</v>
      </c>
      <c r="B217" s="17" t="s">
        <v>377</v>
      </c>
      <c r="C217" s="17" t="s">
        <v>320</v>
      </c>
      <c r="D217" s="23" t="s">
        <v>378</v>
      </c>
      <c r="E217" s="18">
        <v>0</v>
      </c>
      <c r="F217" s="13">
        <f t="shared" si="61"/>
        <v>0</v>
      </c>
      <c r="G217" s="13"/>
      <c r="H217" s="19">
        <f t="shared" si="62"/>
        <v>0</v>
      </c>
      <c r="I217" s="18">
        <v>2000000</v>
      </c>
      <c r="J217" s="13">
        <f t="shared" si="60"/>
        <v>0</v>
      </c>
      <c r="K217" s="13"/>
      <c r="L217" s="13"/>
      <c r="M217" s="13"/>
      <c r="N217" s="13"/>
      <c r="O217" s="19">
        <f t="shared" si="63"/>
        <v>2000000</v>
      </c>
      <c r="P217" s="18">
        <f t="shared" si="52"/>
        <v>2000000</v>
      </c>
      <c r="Q217" s="13">
        <f t="shared" si="53"/>
        <v>0</v>
      </c>
      <c r="R217" s="19">
        <f t="shared" si="54"/>
        <v>2000000</v>
      </c>
    </row>
    <row r="218" spans="1:18" s="20" customFormat="1" ht="26.25" customHeight="1" x14ac:dyDescent="0.2">
      <c r="A218" s="24" t="s">
        <v>379</v>
      </c>
      <c r="B218" s="17" t="s">
        <v>380</v>
      </c>
      <c r="C218" s="17" t="s">
        <v>320</v>
      </c>
      <c r="D218" s="23" t="s">
        <v>381</v>
      </c>
      <c r="E218" s="18">
        <v>0</v>
      </c>
      <c r="F218" s="13">
        <f t="shared" si="61"/>
        <v>0</v>
      </c>
      <c r="G218" s="13"/>
      <c r="H218" s="19">
        <f t="shared" si="62"/>
        <v>0</v>
      </c>
      <c r="I218" s="18">
        <v>30000000</v>
      </c>
      <c r="J218" s="13">
        <f t="shared" si="60"/>
        <v>-19774486</v>
      </c>
      <c r="K218" s="13"/>
      <c r="L218" s="13">
        <f>-15924486-400000-2500000-950000</f>
        <v>-19774486</v>
      </c>
      <c r="M218" s="13">
        <f t="shared" ref="M218:N218" si="64">-15924486-400000-2500000-950000</f>
        <v>-19774486</v>
      </c>
      <c r="N218" s="13">
        <f t="shared" si="64"/>
        <v>-19774486</v>
      </c>
      <c r="O218" s="19">
        <f t="shared" si="63"/>
        <v>10225514</v>
      </c>
      <c r="P218" s="18">
        <f t="shared" si="52"/>
        <v>30000000</v>
      </c>
      <c r="Q218" s="13">
        <f t="shared" si="53"/>
        <v>-19774486</v>
      </c>
      <c r="R218" s="19">
        <f t="shared" si="54"/>
        <v>10225514</v>
      </c>
    </row>
    <row r="219" spans="1:18" s="20" customFormat="1" ht="25.15" customHeight="1" x14ac:dyDescent="0.2">
      <c r="A219" s="24" t="s">
        <v>382</v>
      </c>
      <c r="B219" s="17" t="s">
        <v>383</v>
      </c>
      <c r="C219" s="17" t="s">
        <v>320</v>
      </c>
      <c r="D219" s="23" t="s">
        <v>384</v>
      </c>
      <c r="E219" s="18">
        <v>0</v>
      </c>
      <c r="F219" s="13">
        <f t="shared" si="61"/>
        <v>0</v>
      </c>
      <c r="G219" s="13"/>
      <c r="H219" s="19">
        <f t="shared" si="62"/>
        <v>0</v>
      </c>
      <c r="I219" s="18">
        <v>425240000</v>
      </c>
      <c r="J219" s="13">
        <f t="shared" si="60"/>
        <v>0</v>
      </c>
      <c r="K219" s="13"/>
      <c r="L219" s="13"/>
      <c r="M219" s="13"/>
      <c r="N219" s="13"/>
      <c r="O219" s="19">
        <f t="shared" si="63"/>
        <v>425240000</v>
      </c>
      <c r="P219" s="18">
        <f t="shared" si="52"/>
        <v>425240000</v>
      </c>
      <c r="Q219" s="13">
        <f t="shared" si="53"/>
        <v>0</v>
      </c>
      <c r="R219" s="19">
        <f t="shared" si="54"/>
        <v>425240000</v>
      </c>
    </row>
    <row r="220" spans="1:18" s="20" customFormat="1" ht="30" customHeight="1" x14ac:dyDescent="0.2">
      <c r="A220" s="24" t="s">
        <v>385</v>
      </c>
      <c r="B220" s="17" t="s">
        <v>348</v>
      </c>
      <c r="C220" s="17" t="s">
        <v>320</v>
      </c>
      <c r="D220" s="23" t="s">
        <v>386</v>
      </c>
      <c r="E220" s="18">
        <v>0</v>
      </c>
      <c r="F220" s="13">
        <f t="shared" si="61"/>
        <v>0</v>
      </c>
      <c r="G220" s="13"/>
      <c r="H220" s="19">
        <f t="shared" si="62"/>
        <v>0</v>
      </c>
      <c r="I220" s="18">
        <v>6000000</v>
      </c>
      <c r="J220" s="13">
        <f t="shared" si="60"/>
        <v>0</v>
      </c>
      <c r="K220" s="13"/>
      <c r="L220" s="13"/>
      <c r="M220" s="13"/>
      <c r="N220" s="13"/>
      <c r="O220" s="19">
        <f t="shared" si="63"/>
        <v>6000000</v>
      </c>
      <c r="P220" s="18">
        <f t="shared" si="52"/>
        <v>6000000</v>
      </c>
      <c r="Q220" s="13">
        <f t="shared" si="53"/>
        <v>0</v>
      </c>
      <c r="R220" s="19">
        <f t="shared" si="54"/>
        <v>6000000</v>
      </c>
    </row>
    <row r="221" spans="1:18" s="20" customFormat="1" ht="36" x14ac:dyDescent="0.2">
      <c r="A221" s="57" t="s">
        <v>506</v>
      </c>
      <c r="B221" s="55" t="s">
        <v>504</v>
      </c>
      <c r="C221" s="55" t="s">
        <v>77</v>
      </c>
      <c r="D221" s="56" t="s">
        <v>505</v>
      </c>
      <c r="E221" s="18"/>
      <c r="F221" s="13"/>
      <c r="G221" s="13"/>
      <c r="H221" s="19"/>
      <c r="I221" s="18">
        <v>2269735</v>
      </c>
      <c r="J221" s="13">
        <f t="shared" si="60"/>
        <v>0</v>
      </c>
      <c r="K221" s="13"/>
      <c r="L221" s="13"/>
      <c r="M221" s="13"/>
      <c r="N221" s="13"/>
      <c r="O221" s="19">
        <f t="shared" si="63"/>
        <v>2269735</v>
      </c>
      <c r="P221" s="18">
        <f t="shared" si="52"/>
        <v>2269735</v>
      </c>
      <c r="Q221" s="13">
        <f t="shared" si="53"/>
        <v>0</v>
      </c>
      <c r="R221" s="19">
        <f t="shared" si="54"/>
        <v>2269735</v>
      </c>
    </row>
    <row r="222" spans="1:18" s="20" customFormat="1" ht="24" x14ac:dyDescent="0.2">
      <c r="A222" s="24" t="s">
        <v>510</v>
      </c>
      <c r="B222" s="17" t="s">
        <v>449</v>
      </c>
      <c r="C222" s="17" t="s">
        <v>77</v>
      </c>
      <c r="D222" s="23" t="s">
        <v>168</v>
      </c>
      <c r="E222" s="18"/>
      <c r="F222" s="13"/>
      <c r="G222" s="13"/>
      <c r="H222" s="19"/>
      <c r="I222" s="18">
        <v>2033780</v>
      </c>
      <c r="J222" s="13">
        <f t="shared" si="60"/>
        <v>1930000</v>
      </c>
      <c r="K222" s="13"/>
      <c r="L222" s="13">
        <f>930000+50000+950000</f>
        <v>1930000</v>
      </c>
      <c r="M222" s="13">
        <f>930000+50000+950000</f>
        <v>1930000</v>
      </c>
      <c r="N222" s="13">
        <f>930000+950000</f>
        <v>1880000</v>
      </c>
      <c r="O222" s="19">
        <f t="shared" si="63"/>
        <v>3963780</v>
      </c>
      <c r="P222" s="18">
        <f t="shared" si="52"/>
        <v>2033780</v>
      </c>
      <c r="Q222" s="13">
        <f t="shared" si="53"/>
        <v>1930000</v>
      </c>
      <c r="R222" s="19">
        <f t="shared" si="54"/>
        <v>3963780</v>
      </c>
    </row>
    <row r="223" spans="1:18" s="20" customFormat="1" ht="27.75" customHeight="1" x14ac:dyDescent="0.2">
      <c r="A223" s="16" t="s">
        <v>341</v>
      </c>
      <c r="B223" s="17" t="s">
        <v>167</v>
      </c>
      <c r="C223" s="17" t="s">
        <v>58</v>
      </c>
      <c r="D223" s="23" t="s">
        <v>23</v>
      </c>
      <c r="E223" s="18">
        <v>0</v>
      </c>
      <c r="F223" s="13">
        <f t="shared" si="61"/>
        <v>0</v>
      </c>
      <c r="G223" s="13"/>
      <c r="H223" s="19">
        <f t="shared" si="62"/>
        <v>0</v>
      </c>
      <c r="I223" s="18">
        <v>5000</v>
      </c>
      <c r="J223" s="13">
        <f t="shared" si="60"/>
        <v>0</v>
      </c>
      <c r="K223" s="13"/>
      <c r="L223" s="13"/>
      <c r="M223" s="13"/>
      <c r="N223" s="13"/>
      <c r="O223" s="19">
        <f t="shared" si="63"/>
        <v>5000</v>
      </c>
      <c r="P223" s="18">
        <f t="shared" si="52"/>
        <v>5000</v>
      </c>
      <c r="Q223" s="13">
        <f t="shared" si="53"/>
        <v>0</v>
      </c>
      <c r="R223" s="19">
        <f t="shared" si="54"/>
        <v>5000</v>
      </c>
    </row>
    <row r="224" spans="1:18" s="20" customFormat="1" ht="18" customHeight="1" x14ac:dyDescent="0.2">
      <c r="A224" s="24" t="s">
        <v>499</v>
      </c>
      <c r="B224" s="17" t="s">
        <v>500</v>
      </c>
      <c r="C224" s="17" t="s">
        <v>502</v>
      </c>
      <c r="D224" s="23" t="s">
        <v>501</v>
      </c>
      <c r="E224" s="18"/>
      <c r="F224" s="13"/>
      <c r="G224" s="13"/>
      <c r="H224" s="19"/>
      <c r="I224" s="18">
        <v>1130607</v>
      </c>
      <c r="J224" s="13">
        <f t="shared" si="60"/>
        <v>0</v>
      </c>
      <c r="K224" s="13"/>
      <c r="L224" s="13"/>
      <c r="M224" s="13"/>
      <c r="N224" s="13"/>
      <c r="O224" s="19">
        <f t="shared" si="63"/>
        <v>1130607</v>
      </c>
      <c r="P224" s="18">
        <f>E224+I224</f>
        <v>1130607</v>
      </c>
      <c r="Q224" s="13">
        <f>F224+J224</f>
        <v>0</v>
      </c>
      <c r="R224" s="19">
        <f>H224+O224</f>
        <v>1130607</v>
      </c>
    </row>
    <row r="225" spans="1:18" s="9" customFormat="1" ht="41.25" customHeight="1" x14ac:dyDescent="0.2">
      <c r="A225" s="29" t="s">
        <v>322</v>
      </c>
      <c r="B225" s="11"/>
      <c r="C225" s="11"/>
      <c r="D225" s="30" t="s">
        <v>72</v>
      </c>
      <c r="E225" s="96">
        <v>5858200</v>
      </c>
      <c r="F225" s="97">
        <f>F227+F228+F231+F234</f>
        <v>350500</v>
      </c>
      <c r="G225" s="97">
        <f>G227+G228+G231+G234</f>
        <v>350500</v>
      </c>
      <c r="H225" s="101">
        <f>H227+H231+H234+H228</f>
        <v>6208700</v>
      </c>
      <c r="I225" s="96">
        <v>6600000</v>
      </c>
      <c r="J225" s="97">
        <f t="shared" ref="J225:O225" si="65">SUM(J227:J234)</f>
        <v>2530500</v>
      </c>
      <c r="K225" s="97">
        <f t="shared" si="65"/>
        <v>0</v>
      </c>
      <c r="L225" s="97">
        <f t="shared" si="65"/>
        <v>2530500</v>
      </c>
      <c r="M225" s="97">
        <f t="shared" si="65"/>
        <v>2530500</v>
      </c>
      <c r="N225" s="97">
        <f t="shared" si="65"/>
        <v>2530500</v>
      </c>
      <c r="O225" s="101">
        <f t="shared" si="65"/>
        <v>9130500</v>
      </c>
      <c r="P225" s="96">
        <f t="shared" si="52"/>
        <v>12458200</v>
      </c>
      <c r="Q225" s="97">
        <f>F225+J225</f>
        <v>2881000</v>
      </c>
      <c r="R225" s="101">
        <f t="shared" si="54"/>
        <v>15339200</v>
      </c>
    </row>
    <row r="226" spans="1:18" s="9" customFormat="1" ht="44.25" customHeight="1" x14ac:dyDescent="0.2">
      <c r="A226" s="29" t="s">
        <v>323</v>
      </c>
      <c r="B226" s="11"/>
      <c r="C226" s="11"/>
      <c r="D226" s="30" t="s">
        <v>72</v>
      </c>
      <c r="E226" s="96"/>
      <c r="F226" s="97"/>
      <c r="G226" s="97"/>
      <c r="H226" s="98"/>
      <c r="I226" s="99"/>
      <c r="J226" s="100"/>
      <c r="K226" s="97"/>
      <c r="L226" s="97"/>
      <c r="M226" s="97"/>
      <c r="N226" s="97"/>
      <c r="O226" s="101"/>
      <c r="P226" s="107"/>
      <c r="Q226" s="100"/>
      <c r="R226" s="102"/>
    </row>
    <row r="227" spans="1:18" s="20" customFormat="1" ht="27" customHeight="1" x14ac:dyDescent="0.2">
      <c r="A227" s="16" t="s">
        <v>324</v>
      </c>
      <c r="B227" s="17" t="s">
        <v>123</v>
      </c>
      <c r="C227" s="17" t="s">
        <v>66</v>
      </c>
      <c r="D227" s="23" t="s">
        <v>40</v>
      </c>
      <c r="E227" s="18">
        <v>4618200</v>
      </c>
      <c r="F227" s="13">
        <f>G227</f>
        <v>11000</v>
      </c>
      <c r="G227" s="13">
        <f>11000</f>
        <v>11000</v>
      </c>
      <c r="H227" s="19">
        <f>E227+F227</f>
        <v>4629200</v>
      </c>
      <c r="I227" s="22">
        <v>0</v>
      </c>
      <c r="J227" s="13">
        <f t="shared" ref="J227:J234" si="66">K227+L227</f>
        <v>31500</v>
      </c>
      <c r="K227" s="13"/>
      <c r="L227" s="13">
        <f>31500</f>
        <v>31500</v>
      </c>
      <c r="M227" s="13">
        <f>31500</f>
        <v>31500</v>
      </c>
      <c r="N227" s="13">
        <f>31500</f>
        <v>31500</v>
      </c>
      <c r="O227" s="19">
        <f t="shared" ref="O227:O234" si="67">I227+J227</f>
        <v>31500</v>
      </c>
      <c r="P227" s="18">
        <f t="shared" si="52"/>
        <v>4618200</v>
      </c>
      <c r="Q227" s="13">
        <f t="shared" si="53"/>
        <v>42500</v>
      </c>
      <c r="R227" s="19">
        <f>H227+O227</f>
        <v>4660700</v>
      </c>
    </row>
    <row r="228" spans="1:18" s="20" customFormat="1" ht="27" customHeight="1" x14ac:dyDescent="0.2">
      <c r="A228" s="16" t="s">
        <v>528</v>
      </c>
      <c r="B228" s="17" t="s">
        <v>49</v>
      </c>
      <c r="C228" s="17" t="s">
        <v>53</v>
      </c>
      <c r="D228" s="23" t="s">
        <v>264</v>
      </c>
      <c r="E228" s="18"/>
      <c r="F228" s="13">
        <f>G228</f>
        <v>339500</v>
      </c>
      <c r="G228" s="13">
        <v>339500</v>
      </c>
      <c r="H228" s="19">
        <f>E228+F228</f>
        <v>339500</v>
      </c>
      <c r="I228" s="22"/>
      <c r="J228" s="13">
        <f t="shared" si="66"/>
        <v>450000</v>
      </c>
      <c r="K228" s="13"/>
      <c r="L228" s="13">
        <f>450000</f>
        <v>450000</v>
      </c>
      <c r="M228" s="13">
        <f>450000</f>
        <v>450000</v>
      </c>
      <c r="N228" s="13">
        <f>450000</f>
        <v>450000</v>
      </c>
      <c r="O228" s="19">
        <f t="shared" si="67"/>
        <v>450000</v>
      </c>
      <c r="P228" s="18"/>
      <c r="Q228" s="13">
        <f t="shared" si="53"/>
        <v>789500</v>
      </c>
      <c r="R228" s="19">
        <f>H228+O228</f>
        <v>789500</v>
      </c>
    </row>
    <row r="229" spans="1:18" s="20" customFormat="1" ht="18.75" customHeight="1" x14ac:dyDescent="0.2">
      <c r="A229" s="16"/>
      <c r="B229" s="17"/>
      <c r="C229" s="17"/>
      <c r="D229" s="23" t="s">
        <v>538</v>
      </c>
      <c r="E229" s="18"/>
      <c r="F229" s="13"/>
      <c r="G229" s="13"/>
      <c r="H229" s="19"/>
      <c r="I229" s="22"/>
      <c r="J229" s="13">
        <f t="shared" si="66"/>
        <v>0</v>
      </c>
      <c r="K229" s="13"/>
      <c r="L229" s="13"/>
      <c r="M229" s="13"/>
      <c r="N229" s="13"/>
      <c r="O229" s="19">
        <f t="shared" si="67"/>
        <v>0</v>
      </c>
      <c r="P229" s="18"/>
      <c r="Q229" s="13"/>
      <c r="R229" s="19"/>
    </row>
    <row r="230" spans="1:18" s="20" customFormat="1" ht="27" customHeight="1" x14ac:dyDescent="0.2">
      <c r="A230" s="16" t="s">
        <v>528</v>
      </c>
      <c r="B230" s="17" t="s">
        <v>49</v>
      </c>
      <c r="C230" s="17" t="s">
        <v>53</v>
      </c>
      <c r="D230" s="23" t="s">
        <v>536</v>
      </c>
      <c r="E230" s="18"/>
      <c r="F230" s="13">
        <f>G230</f>
        <v>339500</v>
      </c>
      <c r="G230" s="13">
        <v>339500</v>
      </c>
      <c r="H230" s="19">
        <f>E230+F230</f>
        <v>339500</v>
      </c>
      <c r="I230" s="22"/>
      <c r="J230" s="13">
        <f t="shared" si="66"/>
        <v>0</v>
      </c>
      <c r="K230" s="13"/>
      <c r="L230" s="13"/>
      <c r="M230" s="13"/>
      <c r="N230" s="13"/>
      <c r="O230" s="19">
        <f t="shared" si="67"/>
        <v>0</v>
      </c>
      <c r="P230" s="18"/>
      <c r="Q230" s="13">
        <f>F230+J230</f>
        <v>339500</v>
      </c>
      <c r="R230" s="19">
        <f>H230+O230</f>
        <v>339500</v>
      </c>
    </row>
    <row r="231" spans="1:18" s="20" customFormat="1" ht="27.75" customHeight="1" x14ac:dyDescent="0.2">
      <c r="A231" s="16" t="s">
        <v>325</v>
      </c>
      <c r="B231" s="17" t="s">
        <v>319</v>
      </c>
      <c r="C231" s="17" t="s">
        <v>320</v>
      </c>
      <c r="D231" s="23" t="s">
        <v>321</v>
      </c>
      <c r="E231" s="18">
        <v>1240000</v>
      </c>
      <c r="F231" s="13">
        <f>G231</f>
        <v>0</v>
      </c>
      <c r="G231" s="13"/>
      <c r="H231" s="19">
        <f>E231+F231</f>
        <v>1240000</v>
      </c>
      <c r="I231" s="22">
        <v>0</v>
      </c>
      <c r="J231" s="13">
        <f t="shared" si="66"/>
        <v>0</v>
      </c>
      <c r="K231" s="13"/>
      <c r="L231" s="13"/>
      <c r="M231" s="13"/>
      <c r="N231" s="13"/>
      <c r="O231" s="19">
        <f t="shared" si="67"/>
        <v>0</v>
      </c>
      <c r="P231" s="18">
        <f t="shared" si="52"/>
        <v>1240000</v>
      </c>
      <c r="Q231" s="13">
        <f t="shared" si="53"/>
        <v>0</v>
      </c>
      <c r="R231" s="19">
        <f t="shared" si="54"/>
        <v>1240000</v>
      </c>
    </row>
    <row r="232" spans="1:18" s="20" customFormat="1" ht="33" customHeight="1" x14ac:dyDescent="0.2">
      <c r="A232" s="24" t="s">
        <v>387</v>
      </c>
      <c r="B232" s="17" t="s">
        <v>383</v>
      </c>
      <c r="C232" s="17" t="s">
        <v>320</v>
      </c>
      <c r="D232" s="23" t="s">
        <v>384</v>
      </c>
      <c r="E232" s="18">
        <v>0</v>
      </c>
      <c r="F232" s="13">
        <f>G232</f>
        <v>0</v>
      </c>
      <c r="G232" s="13"/>
      <c r="H232" s="19">
        <f>E232+F232</f>
        <v>0</v>
      </c>
      <c r="I232" s="18">
        <v>1000000</v>
      </c>
      <c r="J232" s="13">
        <f t="shared" si="66"/>
        <v>49000</v>
      </c>
      <c r="K232" s="13"/>
      <c r="L232" s="13">
        <f>49000</f>
        <v>49000</v>
      </c>
      <c r="M232" s="13">
        <f>49000</f>
        <v>49000</v>
      </c>
      <c r="N232" s="13">
        <f>49000</f>
        <v>49000</v>
      </c>
      <c r="O232" s="19">
        <f t="shared" si="67"/>
        <v>1049000</v>
      </c>
      <c r="P232" s="18">
        <f t="shared" si="52"/>
        <v>1000000</v>
      </c>
      <c r="Q232" s="13">
        <f t="shared" si="53"/>
        <v>49000</v>
      </c>
      <c r="R232" s="19">
        <f t="shared" si="54"/>
        <v>1049000</v>
      </c>
    </row>
    <row r="233" spans="1:18" s="20" customFormat="1" ht="27.75" customHeight="1" x14ac:dyDescent="0.2">
      <c r="A233" s="16" t="s">
        <v>347</v>
      </c>
      <c r="B233" s="17" t="s">
        <v>348</v>
      </c>
      <c r="C233" s="17" t="s">
        <v>320</v>
      </c>
      <c r="D233" s="23" t="s">
        <v>349</v>
      </c>
      <c r="E233" s="18">
        <v>0</v>
      </c>
      <c r="F233" s="13">
        <f>G233</f>
        <v>0</v>
      </c>
      <c r="G233" s="13"/>
      <c r="H233" s="19">
        <f>E233+F233</f>
        <v>0</v>
      </c>
      <c r="I233" s="18">
        <v>5600000</v>
      </c>
      <c r="J233" s="13">
        <f t="shared" si="66"/>
        <v>2000000</v>
      </c>
      <c r="K233" s="13"/>
      <c r="L233" s="13">
        <f>2000000</f>
        <v>2000000</v>
      </c>
      <c r="M233" s="13">
        <f>2000000</f>
        <v>2000000</v>
      </c>
      <c r="N233" s="13">
        <f>2000000</f>
        <v>2000000</v>
      </c>
      <c r="O233" s="19">
        <f t="shared" si="67"/>
        <v>7600000</v>
      </c>
      <c r="P233" s="18">
        <f t="shared" si="52"/>
        <v>5600000</v>
      </c>
      <c r="Q233" s="13">
        <f t="shared" si="53"/>
        <v>2000000</v>
      </c>
      <c r="R233" s="19">
        <f t="shared" si="54"/>
        <v>7600000</v>
      </c>
    </row>
    <row r="234" spans="1:18" s="20" customFormat="1" ht="83.25" customHeight="1" x14ac:dyDescent="0.2">
      <c r="A234" s="16" t="s">
        <v>441</v>
      </c>
      <c r="B234" s="17" t="s">
        <v>434</v>
      </c>
      <c r="C234" s="17" t="s">
        <v>77</v>
      </c>
      <c r="D234" s="23" t="s">
        <v>435</v>
      </c>
      <c r="E234" s="18"/>
      <c r="F234" s="13"/>
      <c r="G234" s="13"/>
      <c r="H234" s="19"/>
      <c r="I234" s="22">
        <v>0</v>
      </c>
      <c r="J234" s="13">
        <f t="shared" si="66"/>
        <v>0</v>
      </c>
      <c r="K234" s="13"/>
      <c r="L234" s="13"/>
      <c r="M234" s="13"/>
      <c r="N234" s="13"/>
      <c r="O234" s="19">
        <f t="shared" si="67"/>
        <v>0</v>
      </c>
      <c r="P234" s="18">
        <f t="shared" si="52"/>
        <v>0</v>
      </c>
      <c r="Q234" s="13">
        <f t="shared" si="53"/>
        <v>0</v>
      </c>
      <c r="R234" s="19">
        <f t="shared" si="54"/>
        <v>0</v>
      </c>
    </row>
    <row r="235" spans="1:18" s="113" customFormat="1" ht="21.95" customHeight="1" x14ac:dyDescent="0.2">
      <c r="A235" s="29" t="s">
        <v>252</v>
      </c>
      <c r="B235" s="112"/>
      <c r="C235" s="112"/>
      <c r="D235" s="95" t="s">
        <v>346</v>
      </c>
      <c r="E235" s="96">
        <v>18248500</v>
      </c>
      <c r="F235" s="97">
        <f>F237+F239+F240+F243+F238+F242</f>
        <v>0</v>
      </c>
      <c r="G235" s="97">
        <f>G237+G239+G240+G243+G238+G242</f>
        <v>0</v>
      </c>
      <c r="H235" s="101">
        <f>H237+H239+H240+H243+H238+H242</f>
        <v>18248500</v>
      </c>
      <c r="I235" s="96">
        <v>61922000</v>
      </c>
      <c r="J235" s="97">
        <f t="shared" ref="J235:O235" si="68">SUM(J237:J243)</f>
        <v>0</v>
      </c>
      <c r="K235" s="97">
        <f t="shared" si="68"/>
        <v>0</v>
      </c>
      <c r="L235" s="97">
        <f t="shared" si="68"/>
        <v>0</v>
      </c>
      <c r="M235" s="97">
        <f t="shared" si="68"/>
        <v>0</v>
      </c>
      <c r="N235" s="97">
        <f t="shared" si="68"/>
        <v>-11450000</v>
      </c>
      <c r="O235" s="101">
        <f t="shared" si="68"/>
        <v>61922000</v>
      </c>
      <c r="P235" s="96">
        <f t="shared" si="52"/>
        <v>80170500</v>
      </c>
      <c r="Q235" s="97">
        <f t="shared" si="53"/>
        <v>0</v>
      </c>
      <c r="R235" s="101">
        <f t="shared" si="54"/>
        <v>80170500</v>
      </c>
    </row>
    <row r="236" spans="1:18" s="113" customFormat="1" ht="21.95" customHeight="1" x14ac:dyDescent="0.2">
      <c r="A236" s="29" t="s">
        <v>253</v>
      </c>
      <c r="B236" s="112"/>
      <c r="C236" s="112"/>
      <c r="D236" s="95" t="s">
        <v>346</v>
      </c>
      <c r="E236" s="107"/>
      <c r="F236" s="100"/>
      <c r="G236" s="100"/>
      <c r="H236" s="114"/>
      <c r="I236" s="115"/>
      <c r="J236" s="100"/>
      <c r="K236" s="100"/>
      <c r="L236" s="100"/>
      <c r="M236" s="100"/>
      <c r="N236" s="100"/>
      <c r="O236" s="102"/>
      <c r="P236" s="107"/>
      <c r="Q236" s="100"/>
      <c r="R236" s="102"/>
    </row>
    <row r="237" spans="1:18" s="20" customFormat="1" ht="23.25" customHeight="1" x14ac:dyDescent="0.2">
      <c r="A237" s="16" t="s">
        <v>254</v>
      </c>
      <c r="B237" s="17" t="s">
        <v>123</v>
      </c>
      <c r="C237" s="17" t="s">
        <v>66</v>
      </c>
      <c r="D237" s="23" t="s">
        <v>446</v>
      </c>
      <c r="E237" s="18">
        <v>1798500</v>
      </c>
      <c r="F237" s="13">
        <f>G237</f>
        <v>0</v>
      </c>
      <c r="G237" s="13"/>
      <c r="H237" s="19">
        <f>E237+F237</f>
        <v>1798500</v>
      </c>
      <c r="I237" s="18">
        <v>143000</v>
      </c>
      <c r="J237" s="13">
        <f t="shared" ref="J237:J243" si="69">K237+L237</f>
        <v>0</v>
      </c>
      <c r="K237" s="13"/>
      <c r="L237" s="13"/>
      <c r="M237" s="13"/>
      <c r="N237" s="13"/>
      <c r="O237" s="19">
        <f>I237+J237</f>
        <v>143000</v>
      </c>
      <c r="P237" s="18">
        <f t="shared" si="52"/>
        <v>1941500</v>
      </c>
      <c r="Q237" s="13">
        <f t="shared" si="53"/>
        <v>0</v>
      </c>
      <c r="R237" s="19">
        <f t="shared" si="54"/>
        <v>1941500</v>
      </c>
    </row>
    <row r="238" spans="1:18" s="20" customFormat="1" ht="21.95" customHeight="1" x14ac:dyDescent="0.2">
      <c r="A238" s="16" t="s">
        <v>342</v>
      </c>
      <c r="B238" s="17" t="s">
        <v>49</v>
      </c>
      <c r="C238" s="17" t="s">
        <v>53</v>
      </c>
      <c r="D238" s="23" t="s">
        <v>264</v>
      </c>
      <c r="E238" s="18">
        <v>250000</v>
      </c>
      <c r="F238" s="13">
        <f t="shared" ref="F238:F243" si="70">G238</f>
        <v>0</v>
      </c>
      <c r="G238" s="13"/>
      <c r="H238" s="19">
        <f t="shared" ref="H238:H243" si="71">E238+F238</f>
        <v>250000</v>
      </c>
      <c r="I238" s="18">
        <v>0</v>
      </c>
      <c r="J238" s="13">
        <f t="shared" si="69"/>
        <v>0</v>
      </c>
      <c r="K238" s="13"/>
      <c r="L238" s="13"/>
      <c r="M238" s="13"/>
      <c r="N238" s="13"/>
      <c r="O238" s="19">
        <f t="shared" ref="O238:O243" si="72">I238+J238</f>
        <v>0</v>
      </c>
      <c r="P238" s="18">
        <f t="shared" si="52"/>
        <v>250000</v>
      </c>
      <c r="Q238" s="13">
        <f t="shared" si="53"/>
        <v>0</v>
      </c>
      <c r="R238" s="19">
        <f t="shared" si="54"/>
        <v>250000</v>
      </c>
    </row>
    <row r="239" spans="1:18" s="20" customFormat="1" ht="21.95" customHeight="1" x14ac:dyDescent="0.2">
      <c r="A239" s="16" t="s">
        <v>255</v>
      </c>
      <c r="B239" s="17" t="s">
        <v>165</v>
      </c>
      <c r="C239" s="17" t="s">
        <v>76</v>
      </c>
      <c r="D239" s="23" t="s">
        <v>166</v>
      </c>
      <c r="E239" s="18">
        <v>1200000</v>
      </c>
      <c r="F239" s="13">
        <f t="shared" si="70"/>
        <v>0</v>
      </c>
      <c r="G239" s="13"/>
      <c r="H239" s="19">
        <f t="shared" si="71"/>
        <v>1200000</v>
      </c>
      <c r="I239" s="18">
        <v>17379000</v>
      </c>
      <c r="J239" s="13">
        <f t="shared" si="69"/>
        <v>0</v>
      </c>
      <c r="K239" s="13"/>
      <c r="L239" s="13"/>
      <c r="M239" s="13"/>
      <c r="N239" s="13"/>
      <c r="O239" s="19">
        <f t="shared" si="72"/>
        <v>17379000</v>
      </c>
      <c r="P239" s="18">
        <f t="shared" si="52"/>
        <v>18579000</v>
      </c>
      <c r="Q239" s="13">
        <f t="shared" si="53"/>
        <v>0</v>
      </c>
      <c r="R239" s="19">
        <f t="shared" si="54"/>
        <v>18579000</v>
      </c>
    </row>
    <row r="240" spans="1:18" s="20" customFormat="1" ht="21.95" hidden="1" customHeight="1" x14ac:dyDescent="0.2">
      <c r="A240" s="16">
        <v>6516310</v>
      </c>
      <c r="B240" s="17">
        <v>6310</v>
      </c>
      <c r="C240" s="17" t="s">
        <v>77</v>
      </c>
      <c r="D240" s="23" t="s">
        <v>35</v>
      </c>
      <c r="E240" s="18">
        <v>0</v>
      </c>
      <c r="F240" s="13">
        <f t="shared" si="70"/>
        <v>0</v>
      </c>
      <c r="G240" s="13"/>
      <c r="H240" s="19">
        <f t="shared" si="71"/>
        <v>0</v>
      </c>
      <c r="I240" s="18">
        <v>0</v>
      </c>
      <c r="J240" s="13">
        <f t="shared" si="69"/>
        <v>0</v>
      </c>
      <c r="K240" s="13"/>
      <c r="L240" s="13"/>
      <c r="M240" s="13"/>
      <c r="N240" s="13"/>
      <c r="O240" s="19">
        <f t="shared" si="72"/>
        <v>0</v>
      </c>
      <c r="P240" s="18">
        <f t="shared" si="52"/>
        <v>0</v>
      </c>
      <c r="Q240" s="13">
        <f t="shared" si="53"/>
        <v>0</v>
      </c>
      <c r="R240" s="19">
        <f t="shared" si="54"/>
        <v>0</v>
      </c>
    </row>
    <row r="241" spans="1:18" s="20" customFormat="1" ht="21.95" customHeight="1" x14ac:dyDescent="0.2">
      <c r="A241" s="16" t="s">
        <v>388</v>
      </c>
      <c r="B241" s="17" t="s">
        <v>360</v>
      </c>
      <c r="C241" s="17" t="s">
        <v>320</v>
      </c>
      <c r="D241" s="23" t="s">
        <v>361</v>
      </c>
      <c r="E241" s="18">
        <v>0</v>
      </c>
      <c r="F241" s="13">
        <f t="shared" si="70"/>
        <v>0</v>
      </c>
      <c r="G241" s="13"/>
      <c r="H241" s="19">
        <f t="shared" si="71"/>
        <v>0</v>
      </c>
      <c r="I241" s="18">
        <v>5000000</v>
      </c>
      <c r="J241" s="13">
        <f t="shared" si="69"/>
        <v>0</v>
      </c>
      <c r="K241" s="13"/>
      <c r="L241" s="13"/>
      <c r="M241" s="13"/>
      <c r="N241" s="13"/>
      <c r="O241" s="19">
        <f t="shared" si="72"/>
        <v>5000000</v>
      </c>
      <c r="P241" s="18">
        <f t="shared" si="52"/>
        <v>5000000</v>
      </c>
      <c r="Q241" s="13">
        <f t="shared" si="53"/>
        <v>0</v>
      </c>
      <c r="R241" s="19">
        <f t="shared" si="54"/>
        <v>5000000</v>
      </c>
    </row>
    <row r="242" spans="1:18" s="20" customFormat="1" ht="24" x14ac:dyDescent="0.2">
      <c r="A242" s="16" t="s">
        <v>352</v>
      </c>
      <c r="B242" s="17" t="s">
        <v>353</v>
      </c>
      <c r="C242" s="17" t="s">
        <v>350</v>
      </c>
      <c r="D242" s="23" t="s">
        <v>354</v>
      </c>
      <c r="E242" s="18">
        <v>15000000</v>
      </c>
      <c r="F242" s="13">
        <f t="shared" si="70"/>
        <v>0</v>
      </c>
      <c r="G242" s="13"/>
      <c r="H242" s="19">
        <f t="shared" si="71"/>
        <v>15000000</v>
      </c>
      <c r="I242" s="18">
        <v>0</v>
      </c>
      <c r="J242" s="13">
        <f t="shared" si="69"/>
        <v>0</v>
      </c>
      <c r="K242" s="13"/>
      <c r="L242" s="13"/>
      <c r="M242" s="13"/>
      <c r="N242" s="13"/>
      <c r="O242" s="19">
        <f t="shared" si="72"/>
        <v>0</v>
      </c>
      <c r="P242" s="18">
        <f t="shared" si="52"/>
        <v>15000000</v>
      </c>
      <c r="Q242" s="13">
        <f t="shared" si="53"/>
        <v>0</v>
      </c>
      <c r="R242" s="19">
        <f t="shared" si="54"/>
        <v>15000000</v>
      </c>
    </row>
    <row r="243" spans="1:18" s="20" customFormat="1" ht="21.95" customHeight="1" x14ac:dyDescent="0.2">
      <c r="A243" s="16" t="s">
        <v>256</v>
      </c>
      <c r="B243" s="17" t="s">
        <v>146</v>
      </c>
      <c r="C243" s="17" t="s">
        <v>77</v>
      </c>
      <c r="D243" s="23" t="s">
        <v>39</v>
      </c>
      <c r="E243" s="18">
        <v>0</v>
      </c>
      <c r="F243" s="13">
        <f t="shared" si="70"/>
        <v>0</v>
      </c>
      <c r="G243" s="13"/>
      <c r="H243" s="19">
        <f t="shared" si="71"/>
        <v>0</v>
      </c>
      <c r="I243" s="18">
        <v>39400000</v>
      </c>
      <c r="J243" s="13">
        <f t="shared" si="69"/>
        <v>0</v>
      </c>
      <c r="K243" s="13"/>
      <c r="L243" s="13"/>
      <c r="M243" s="13"/>
      <c r="N243" s="13">
        <f>-11450000</f>
        <v>-11450000</v>
      </c>
      <c r="O243" s="19">
        <f t="shared" si="72"/>
        <v>39400000</v>
      </c>
      <c r="P243" s="18">
        <f t="shared" si="52"/>
        <v>39400000</v>
      </c>
      <c r="Q243" s="13">
        <f t="shared" si="53"/>
        <v>0</v>
      </c>
      <c r="R243" s="19">
        <f t="shared" si="54"/>
        <v>39400000</v>
      </c>
    </row>
    <row r="244" spans="1:18" s="9" customFormat="1" ht="36" customHeight="1" x14ac:dyDescent="0.2">
      <c r="A244" s="29" t="s">
        <v>307</v>
      </c>
      <c r="B244" s="11"/>
      <c r="C244" s="11"/>
      <c r="D244" s="95" t="s">
        <v>26</v>
      </c>
      <c r="E244" s="96">
        <v>9099000</v>
      </c>
      <c r="F244" s="97">
        <f>F246+F247+F248+F250+F251+F253+F255+F249</f>
        <v>40000</v>
      </c>
      <c r="G244" s="97">
        <f>G246+G247+G248+G250+G251+G253+G255+G249</f>
        <v>40000</v>
      </c>
      <c r="H244" s="101">
        <f>H246+H247+H248+H250+H251+H253+H255+H249</f>
        <v>9139000</v>
      </c>
      <c r="I244" s="96">
        <v>0</v>
      </c>
      <c r="J244" s="97">
        <f t="shared" ref="J244:O244" si="73">J246+J247+J248+J250+J251+J253+J255</f>
        <v>0</v>
      </c>
      <c r="K244" s="97">
        <f t="shared" si="73"/>
        <v>0</v>
      </c>
      <c r="L244" s="97">
        <f t="shared" si="73"/>
        <v>0</v>
      </c>
      <c r="M244" s="97">
        <f t="shared" si="73"/>
        <v>0</v>
      </c>
      <c r="N244" s="97">
        <f t="shared" si="73"/>
        <v>0</v>
      </c>
      <c r="O244" s="101">
        <f t="shared" si="73"/>
        <v>0</v>
      </c>
      <c r="P244" s="96">
        <f t="shared" si="52"/>
        <v>9099000</v>
      </c>
      <c r="Q244" s="97">
        <f t="shared" si="53"/>
        <v>40000</v>
      </c>
      <c r="R244" s="101">
        <f t="shared" si="54"/>
        <v>9139000</v>
      </c>
    </row>
    <row r="245" spans="1:18" s="9" customFormat="1" ht="36" customHeight="1" x14ac:dyDescent="0.2">
      <c r="A245" s="29" t="s">
        <v>297</v>
      </c>
      <c r="B245" s="11"/>
      <c r="C245" s="11"/>
      <c r="D245" s="95" t="s">
        <v>26</v>
      </c>
      <c r="E245" s="96"/>
      <c r="F245" s="97"/>
      <c r="G245" s="97"/>
      <c r="H245" s="98"/>
      <c r="I245" s="99"/>
      <c r="J245" s="100">
        <f t="shared" ref="J245:J251" si="74">K245+L245</f>
        <v>0</v>
      </c>
      <c r="K245" s="97"/>
      <c r="L245" s="97"/>
      <c r="M245" s="97"/>
      <c r="N245" s="97"/>
      <c r="O245" s="101"/>
      <c r="P245" s="107"/>
      <c r="Q245" s="97"/>
      <c r="R245" s="101"/>
    </row>
    <row r="246" spans="1:18" s="20" customFormat="1" ht="24" x14ac:dyDescent="0.2">
      <c r="A246" s="16" t="s">
        <v>298</v>
      </c>
      <c r="B246" s="17" t="s">
        <v>123</v>
      </c>
      <c r="C246" s="17" t="s">
        <v>66</v>
      </c>
      <c r="D246" s="23" t="s">
        <v>41</v>
      </c>
      <c r="E246" s="18">
        <v>4799000</v>
      </c>
      <c r="F246" s="13">
        <f>G246</f>
        <v>0</v>
      </c>
      <c r="G246" s="13"/>
      <c r="H246" s="19">
        <f>E246+F246</f>
        <v>4799000</v>
      </c>
      <c r="I246" s="22">
        <v>0</v>
      </c>
      <c r="J246" s="13">
        <f t="shared" si="74"/>
        <v>0</v>
      </c>
      <c r="K246" s="13"/>
      <c r="L246" s="13"/>
      <c r="M246" s="13"/>
      <c r="N246" s="13"/>
      <c r="O246" s="19">
        <f>I246+J246</f>
        <v>0</v>
      </c>
      <c r="P246" s="18">
        <f t="shared" si="52"/>
        <v>4799000</v>
      </c>
      <c r="Q246" s="13">
        <f t="shared" si="53"/>
        <v>0</v>
      </c>
      <c r="R246" s="19">
        <f t="shared" si="54"/>
        <v>4799000</v>
      </c>
    </row>
    <row r="247" spans="1:18" s="20" customFormat="1" ht="21.95" hidden="1" customHeight="1" x14ac:dyDescent="0.2">
      <c r="A247" s="16">
        <v>7316310</v>
      </c>
      <c r="B247" s="17">
        <v>6310</v>
      </c>
      <c r="C247" s="17" t="s">
        <v>77</v>
      </c>
      <c r="D247" s="23" t="s">
        <v>35</v>
      </c>
      <c r="E247" s="18">
        <v>0</v>
      </c>
      <c r="F247" s="13">
        <f t="shared" ref="F247:F260" si="75">G247</f>
        <v>0</v>
      </c>
      <c r="G247" s="13"/>
      <c r="H247" s="19">
        <f t="shared" ref="H247:H260" si="76">E247+F247</f>
        <v>0</v>
      </c>
      <c r="I247" s="22">
        <v>0</v>
      </c>
      <c r="J247" s="13">
        <f t="shared" si="74"/>
        <v>0</v>
      </c>
      <c r="K247" s="13"/>
      <c r="L247" s="13"/>
      <c r="M247" s="13"/>
      <c r="N247" s="13"/>
      <c r="O247" s="19">
        <f t="shared" ref="O247:O260" si="77">I247+J247</f>
        <v>0</v>
      </c>
      <c r="P247" s="18">
        <f t="shared" si="52"/>
        <v>0</v>
      </c>
      <c r="Q247" s="13">
        <f t="shared" si="53"/>
        <v>0</v>
      </c>
      <c r="R247" s="19">
        <f t="shared" si="54"/>
        <v>0</v>
      </c>
    </row>
    <row r="248" spans="1:18" s="20" customFormat="1" ht="29.25" customHeight="1" x14ac:dyDescent="0.2">
      <c r="A248" s="16" t="s">
        <v>448</v>
      </c>
      <c r="B248" s="17" t="s">
        <v>449</v>
      </c>
      <c r="C248" s="17" t="s">
        <v>77</v>
      </c>
      <c r="D248" s="23" t="s">
        <v>168</v>
      </c>
      <c r="E248" s="18">
        <v>1130000</v>
      </c>
      <c r="F248" s="13">
        <f t="shared" si="75"/>
        <v>0</v>
      </c>
      <c r="G248" s="13"/>
      <c r="H248" s="19">
        <f t="shared" si="76"/>
        <v>1130000</v>
      </c>
      <c r="I248" s="22">
        <v>0</v>
      </c>
      <c r="J248" s="13">
        <f t="shared" si="74"/>
        <v>0</v>
      </c>
      <c r="K248" s="13"/>
      <c r="L248" s="13"/>
      <c r="M248" s="13"/>
      <c r="N248" s="13"/>
      <c r="O248" s="19">
        <f t="shared" si="77"/>
        <v>0</v>
      </c>
      <c r="P248" s="18">
        <f t="shared" si="52"/>
        <v>1130000</v>
      </c>
      <c r="Q248" s="13">
        <f t="shared" si="53"/>
        <v>0</v>
      </c>
      <c r="R248" s="19">
        <f t="shared" si="54"/>
        <v>1130000</v>
      </c>
    </row>
    <row r="249" spans="1:18" s="20" customFormat="1" ht="29.25" customHeight="1" x14ac:dyDescent="0.2">
      <c r="A249" s="16" t="s">
        <v>518</v>
      </c>
      <c r="B249" s="17" t="s">
        <v>49</v>
      </c>
      <c r="C249" s="17" t="s">
        <v>53</v>
      </c>
      <c r="D249" s="23" t="s">
        <v>264</v>
      </c>
      <c r="E249" s="18">
        <v>40000</v>
      </c>
      <c r="F249" s="13">
        <f t="shared" si="75"/>
        <v>0</v>
      </c>
      <c r="G249" s="13"/>
      <c r="H249" s="19">
        <f t="shared" si="76"/>
        <v>40000</v>
      </c>
      <c r="I249" s="22"/>
      <c r="J249" s="13"/>
      <c r="K249" s="13"/>
      <c r="L249" s="13"/>
      <c r="M249" s="13"/>
      <c r="N249" s="13"/>
      <c r="O249" s="19"/>
      <c r="P249" s="18">
        <f t="shared" si="52"/>
        <v>40000</v>
      </c>
      <c r="Q249" s="13">
        <f t="shared" si="53"/>
        <v>0</v>
      </c>
      <c r="R249" s="19">
        <f t="shared" si="54"/>
        <v>40000</v>
      </c>
    </row>
    <row r="250" spans="1:18" s="20" customFormat="1" ht="25.5" customHeight="1" x14ac:dyDescent="0.2">
      <c r="A250" s="16" t="s">
        <v>306</v>
      </c>
      <c r="B250" s="17" t="s">
        <v>169</v>
      </c>
      <c r="C250" s="17" t="s">
        <v>78</v>
      </c>
      <c r="D250" s="23" t="s">
        <v>27</v>
      </c>
      <c r="E250" s="18">
        <v>850000</v>
      </c>
      <c r="F250" s="13">
        <f t="shared" si="75"/>
        <v>-200000</v>
      </c>
      <c r="G250" s="13">
        <v>-200000</v>
      </c>
      <c r="H250" s="19">
        <f t="shared" si="76"/>
        <v>650000</v>
      </c>
      <c r="I250" s="22">
        <v>0</v>
      </c>
      <c r="J250" s="13">
        <f t="shared" si="74"/>
        <v>0</v>
      </c>
      <c r="K250" s="13"/>
      <c r="L250" s="13"/>
      <c r="M250" s="13"/>
      <c r="N250" s="13"/>
      <c r="O250" s="19">
        <f t="shared" si="77"/>
        <v>0</v>
      </c>
      <c r="P250" s="18">
        <f t="shared" si="52"/>
        <v>850000</v>
      </c>
      <c r="Q250" s="13">
        <f t="shared" si="53"/>
        <v>-200000</v>
      </c>
      <c r="R250" s="19">
        <f t="shared" si="54"/>
        <v>650000</v>
      </c>
    </row>
    <row r="251" spans="1:18" s="20" customFormat="1" ht="22.5" customHeight="1" x14ac:dyDescent="0.2">
      <c r="A251" s="16" t="s">
        <v>301</v>
      </c>
      <c r="B251" s="17" t="s">
        <v>302</v>
      </c>
      <c r="C251" s="17" t="s">
        <v>294</v>
      </c>
      <c r="D251" s="21" t="s">
        <v>300</v>
      </c>
      <c r="E251" s="18">
        <v>150000</v>
      </c>
      <c r="F251" s="13">
        <f t="shared" si="75"/>
        <v>0</v>
      </c>
      <c r="G251" s="13"/>
      <c r="H251" s="19">
        <f t="shared" si="76"/>
        <v>150000</v>
      </c>
      <c r="I251" s="22">
        <v>0</v>
      </c>
      <c r="J251" s="13">
        <f t="shared" si="74"/>
        <v>0</v>
      </c>
      <c r="K251" s="13"/>
      <c r="L251" s="13"/>
      <c r="M251" s="13"/>
      <c r="N251" s="13"/>
      <c r="O251" s="19">
        <f t="shared" si="77"/>
        <v>0</v>
      </c>
      <c r="P251" s="18">
        <f t="shared" si="52"/>
        <v>150000</v>
      </c>
      <c r="Q251" s="13">
        <f t="shared" si="53"/>
        <v>0</v>
      </c>
      <c r="R251" s="19">
        <f t="shared" si="54"/>
        <v>150000</v>
      </c>
    </row>
    <row r="252" spans="1:18" s="20" customFormat="1" ht="39" customHeight="1" x14ac:dyDescent="0.2">
      <c r="A252" s="16"/>
      <c r="B252" s="17"/>
      <c r="C252" s="17"/>
      <c r="D252" s="21" t="s">
        <v>305</v>
      </c>
      <c r="E252" s="18">
        <v>150000</v>
      </c>
      <c r="F252" s="13">
        <f t="shared" si="75"/>
        <v>0</v>
      </c>
      <c r="G252" s="13"/>
      <c r="H252" s="19">
        <f t="shared" si="76"/>
        <v>150000</v>
      </c>
      <c r="I252" s="22"/>
      <c r="J252" s="13"/>
      <c r="K252" s="13"/>
      <c r="L252" s="13"/>
      <c r="M252" s="13"/>
      <c r="N252" s="13"/>
      <c r="O252" s="19"/>
      <c r="P252" s="18">
        <f t="shared" si="52"/>
        <v>150000</v>
      </c>
      <c r="Q252" s="13">
        <f t="shared" si="53"/>
        <v>0</v>
      </c>
      <c r="R252" s="19">
        <f t="shared" si="54"/>
        <v>150000</v>
      </c>
    </row>
    <row r="253" spans="1:18" s="20" customFormat="1" ht="31.5" customHeight="1" x14ac:dyDescent="0.2">
      <c r="A253" s="16" t="s">
        <v>296</v>
      </c>
      <c r="B253" s="17" t="s">
        <v>293</v>
      </c>
      <c r="C253" s="17" t="s">
        <v>294</v>
      </c>
      <c r="D253" s="21" t="s">
        <v>450</v>
      </c>
      <c r="E253" s="18">
        <v>350000</v>
      </c>
      <c r="F253" s="13">
        <f t="shared" si="75"/>
        <v>240000</v>
      </c>
      <c r="G253" s="13">
        <v>240000</v>
      </c>
      <c r="H253" s="19">
        <f t="shared" si="76"/>
        <v>590000</v>
      </c>
      <c r="I253" s="22">
        <v>0</v>
      </c>
      <c r="J253" s="13">
        <f>K253+L253</f>
        <v>0</v>
      </c>
      <c r="K253" s="13"/>
      <c r="L253" s="13"/>
      <c r="M253" s="13"/>
      <c r="N253" s="13"/>
      <c r="O253" s="19">
        <f t="shared" si="77"/>
        <v>0</v>
      </c>
      <c r="P253" s="18">
        <f t="shared" si="52"/>
        <v>350000</v>
      </c>
      <c r="Q253" s="13">
        <f t="shared" si="53"/>
        <v>240000</v>
      </c>
      <c r="R253" s="19">
        <f t="shared" si="54"/>
        <v>590000</v>
      </c>
    </row>
    <row r="254" spans="1:18" s="20" customFormat="1" ht="36.75" customHeight="1" x14ac:dyDescent="0.2">
      <c r="A254" s="16"/>
      <c r="B254" s="17"/>
      <c r="C254" s="17"/>
      <c r="D254" s="21" t="s">
        <v>295</v>
      </c>
      <c r="E254" s="18">
        <v>350000</v>
      </c>
      <c r="F254" s="13">
        <f t="shared" si="75"/>
        <v>240000</v>
      </c>
      <c r="G254" s="13">
        <v>240000</v>
      </c>
      <c r="H254" s="19">
        <f t="shared" si="76"/>
        <v>590000</v>
      </c>
      <c r="I254" s="22"/>
      <c r="J254" s="13"/>
      <c r="K254" s="13"/>
      <c r="L254" s="13"/>
      <c r="M254" s="13"/>
      <c r="N254" s="13"/>
      <c r="O254" s="19"/>
      <c r="P254" s="18">
        <f t="shared" si="52"/>
        <v>350000</v>
      </c>
      <c r="Q254" s="13">
        <f t="shared" si="53"/>
        <v>240000</v>
      </c>
      <c r="R254" s="19">
        <f t="shared" si="54"/>
        <v>590000</v>
      </c>
    </row>
    <row r="255" spans="1:18" s="20" customFormat="1" ht="26.25" customHeight="1" x14ac:dyDescent="0.2">
      <c r="A255" s="16" t="s">
        <v>299</v>
      </c>
      <c r="B255" s="58" t="s">
        <v>512</v>
      </c>
      <c r="C255" s="17" t="s">
        <v>77</v>
      </c>
      <c r="D255" s="59" t="s">
        <v>303</v>
      </c>
      <c r="E255" s="18">
        <v>1780000</v>
      </c>
      <c r="F255" s="13">
        <f t="shared" si="75"/>
        <v>0</v>
      </c>
      <c r="G255" s="13"/>
      <c r="H255" s="19">
        <f t="shared" si="76"/>
        <v>1780000</v>
      </c>
      <c r="I255" s="22">
        <v>0</v>
      </c>
      <c r="J255" s="13">
        <f>K255+L255</f>
        <v>0</v>
      </c>
      <c r="K255" s="13"/>
      <c r="L255" s="13"/>
      <c r="M255" s="13"/>
      <c r="N255" s="13"/>
      <c r="O255" s="19">
        <f t="shared" si="77"/>
        <v>0</v>
      </c>
      <c r="P255" s="18">
        <f t="shared" si="52"/>
        <v>1780000</v>
      </c>
      <c r="Q255" s="13">
        <f t="shared" si="53"/>
        <v>0</v>
      </c>
      <c r="R255" s="19">
        <f t="shared" si="54"/>
        <v>1780000</v>
      </c>
    </row>
    <row r="256" spans="1:18" s="20" customFormat="1" ht="13.5" customHeight="1" x14ac:dyDescent="0.2">
      <c r="A256" s="16"/>
      <c r="B256" s="58"/>
      <c r="C256" s="17"/>
      <c r="D256" s="59" t="s">
        <v>304</v>
      </c>
      <c r="E256" s="18"/>
      <c r="F256" s="13"/>
      <c r="G256" s="13"/>
      <c r="H256" s="19"/>
      <c r="I256" s="22"/>
      <c r="J256" s="13"/>
      <c r="K256" s="13"/>
      <c r="L256" s="13"/>
      <c r="M256" s="13"/>
      <c r="N256" s="13"/>
      <c r="O256" s="19"/>
      <c r="P256" s="18"/>
      <c r="Q256" s="13"/>
      <c r="R256" s="19"/>
    </row>
    <row r="257" spans="1:18" s="20" customFormat="1" ht="42" customHeight="1" x14ac:dyDescent="0.2">
      <c r="A257" s="16"/>
      <c r="B257" s="58"/>
      <c r="C257" s="17"/>
      <c r="D257" s="59" t="s">
        <v>80</v>
      </c>
      <c r="E257" s="18">
        <v>400000</v>
      </c>
      <c r="F257" s="13">
        <f t="shared" si="75"/>
        <v>0</v>
      </c>
      <c r="G257" s="13"/>
      <c r="H257" s="19">
        <f t="shared" si="76"/>
        <v>400000</v>
      </c>
      <c r="I257" s="22">
        <v>0</v>
      </c>
      <c r="J257" s="13"/>
      <c r="K257" s="13"/>
      <c r="L257" s="13"/>
      <c r="M257" s="13"/>
      <c r="N257" s="13"/>
      <c r="O257" s="19">
        <f t="shared" si="77"/>
        <v>0</v>
      </c>
      <c r="P257" s="18">
        <f t="shared" si="52"/>
        <v>400000</v>
      </c>
      <c r="Q257" s="13">
        <f t="shared" si="53"/>
        <v>0</v>
      </c>
      <c r="R257" s="19">
        <f t="shared" si="54"/>
        <v>400000</v>
      </c>
    </row>
    <row r="258" spans="1:18" s="20" customFormat="1" ht="41.25" customHeight="1" x14ac:dyDescent="0.2">
      <c r="A258" s="16"/>
      <c r="B258" s="17"/>
      <c r="C258" s="17"/>
      <c r="D258" s="21" t="s">
        <v>395</v>
      </c>
      <c r="E258" s="18">
        <v>700000</v>
      </c>
      <c r="F258" s="13">
        <f t="shared" si="75"/>
        <v>0</v>
      </c>
      <c r="G258" s="13"/>
      <c r="H258" s="19">
        <f t="shared" si="76"/>
        <v>700000</v>
      </c>
      <c r="I258" s="22">
        <v>0</v>
      </c>
      <c r="J258" s="13">
        <f>K258+L258</f>
        <v>0</v>
      </c>
      <c r="K258" s="13"/>
      <c r="L258" s="13"/>
      <c r="M258" s="13"/>
      <c r="N258" s="13"/>
      <c r="O258" s="19">
        <f t="shared" si="77"/>
        <v>0</v>
      </c>
      <c r="P258" s="18">
        <f t="shared" si="52"/>
        <v>700000</v>
      </c>
      <c r="Q258" s="13">
        <f t="shared" si="53"/>
        <v>0</v>
      </c>
      <c r="R258" s="19">
        <f t="shared" si="54"/>
        <v>700000</v>
      </c>
    </row>
    <row r="259" spans="1:18" s="20" customFormat="1" ht="32.25" customHeight="1" x14ac:dyDescent="0.2">
      <c r="A259" s="16"/>
      <c r="B259" s="17"/>
      <c r="C259" s="17"/>
      <c r="D259" s="21" t="s">
        <v>79</v>
      </c>
      <c r="E259" s="18">
        <v>580000</v>
      </c>
      <c r="F259" s="13">
        <f t="shared" si="75"/>
        <v>0</v>
      </c>
      <c r="G259" s="13"/>
      <c r="H259" s="19">
        <f t="shared" si="76"/>
        <v>580000</v>
      </c>
      <c r="I259" s="22">
        <v>0</v>
      </c>
      <c r="J259" s="13">
        <f>K259+L259</f>
        <v>0</v>
      </c>
      <c r="K259" s="13"/>
      <c r="L259" s="13"/>
      <c r="M259" s="13"/>
      <c r="N259" s="13"/>
      <c r="O259" s="19">
        <f t="shared" si="77"/>
        <v>0</v>
      </c>
      <c r="P259" s="18">
        <f t="shared" si="52"/>
        <v>580000</v>
      </c>
      <c r="Q259" s="13">
        <f t="shared" si="53"/>
        <v>0</v>
      </c>
      <c r="R259" s="19">
        <f t="shared" si="54"/>
        <v>580000</v>
      </c>
    </row>
    <row r="260" spans="1:18" s="20" customFormat="1" ht="54" customHeight="1" x14ac:dyDescent="0.2">
      <c r="A260" s="16"/>
      <c r="B260" s="17"/>
      <c r="C260" s="17"/>
      <c r="D260" s="59" t="s">
        <v>113</v>
      </c>
      <c r="E260" s="18">
        <v>100000</v>
      </c>
      <c r="F260" s="13">
        <f t="shared" si="75"/>
        <v>0</v>
      </c>
      <c r="G260" s="13"/>
      <c r="H260" s="19">
        <f t="shared" si="76"/>
        <v>100000</v>
      </c>
      <c r="I260" s="22">
        <v>0</v>
      </c>
      <c r="J260" s="13"/>
      <c r="K260" s="13"/>
      <c r="L260" s="13"/>
      <c r="M260" s="13"/>
      <c r="N260" s="13"/>
      <c r="O260" s="19">
        <f t="shared" si="77"/>
        <v>0</v>
      </c>
      <c r="P260" s="18">
        <f t="shared" si="52"/>
        <v>100000</v>
      </c>
      <c r="Q260" s="13">
        <f t="shared" si="53"/>
        <v>0</v>
      </c>
      <c r="R260" s="19">
        <f t="shared" si="54"/>
        <v>100000</v>
      </c>
    </row>
    <row r="261" spans="1:18" s="9" customFormat="1" ht="33" customHeight="1" x14ac:dyDescent="0.2">
      <c r="A261" s="29" t="s">
        <v>308</v>
      </c>
      <c r="B261" s="11"/>
      <c r="C261" s="11"/>
      <c r="D261" s="30" t="s">
        <v>65</v>
      </c>
      <c r="E261" s="96">
        <v>8136000</v>
      </c>
      <c r="F261" s="97">
        <f>F263+F265+F266+F264</f>
        <v>0</v>
      </c>
      <c r="G261" s="97">
        <f>G263+G265+G266+G264</f>
        <v>0</v>
      </c>
      <c r="H261" s="101">
        <f>H263+H265+H266+H264</f>
        <v>8136000</v>
      </c>
      <c r="I261" s="96">
        <v>0</v>
      </c>
      <c r="J261" s="97">
        <f t="shared" ref="J261:O261" si="78">J263+J265+J264</f>
        <v>0</v>
      </c>
      <c r="K261" s="97">
        <f t="shared" si="78"/>
        <v>0</v>
      </c>
      <c r="L261" s="97">
        <f t="shared" si="78"/>
        <v>0</v>
      </c>
      <c r="M261" s="97">
        <f t="shared" si="78"/>
        <v>0</v>
      </c>
      <c r="N261" s="97">
        <f t="shared" si="78"/>
        <v>0</v>
      </c>
      <c r="O261" s="101">
        <f t="shared" si="78"/>
        <v>0</v>
      </c>
      <c r="P261" s="96">
        <f t="shared" si="52"/>
        <v>8136000</v>
      </c>
      <c r="Q261" s="97">
        <f t="shared" si="53"/>
        <v>0</v>
      </c>
      <c r="R261" s="101">
        <f t="shared" si="54"/>
        <v>8136000</v>
      </c>
    </row>
    <row r="262" spans="1:18" s="9" customFormat="1" ht="33" customHeight="1" x14ac:dyDescent="0.2">
      <c r="A262" s="29" t="s">
        <v>309</v>
      </c>
      <c r="B262" s="11"/>
      <c r="C262" s="11"/>
      <c r="D262" s="30" t="s">
        <v>65</v>
      </c>
      <c r="E262" s="96"/>
      <c r="F262" s="97"/>
      <c r="G262" s="97"/>
      <c r="H262" s="98"/>
      <c r="I262" s="99"/>
      <c r="J262" s="100">
        <f>K262+L262</f>
        <v>0</v>
      </c>
      <c r="K262" s="97"/>
      <c r="L262" s="97"/>
      <c r="M262" s="97"/>
      <c r="N262" s="97"/>
      <c r="O262" s="101"/>
      <c r="P262" s="107"/>
      <c r="Q262" s="100"/>
      <c r="R262" s="102"/>
    </row>
    <row r="263" spans="1:18" s="20" customFormat="1" ht="24" x14ac:dyDescent="0.2">
      <c r="A263" s="16" t="s">
        <v>310</v>
      </c>
      <c r="B263" s="17" t="s">
        <v>123</v>
      </c>
      <c r="C263" s="17" t="s">
        <v>66</v>
      </c>
      <c r="D263" s="23" t="s">
        <v>71</v>
      </c>
      <c r="E263" s="18">
        <v>7691000</v>
      </c>
      <c r="F263" s="13">
        <f>G263</f>
        <v>0</v>
      </c>
      <c r="G263" s="13"/>
      <c r="H263" s="19">
        <f>E263+F263</f>
        <v>7691000</v>
      </c>
      <c r="I263" s="22">
        <v>0</v>
      </c>
      <c r="J263" s="13">
        <f>K263+L263</f>
        <v>0</v>
      </c>
      <c r="K263" s="13"/>
      <c r="L263" s="13"/>
      <c r="M263" s="13"/>
      <c r="N263" s="13"/>
      <c r="O263" s="19">
        <f>I263+J263</f>
        <v>0</v>
      </c>
      <c r="P263" s="18">
        <f t="shared" ref="P263:P293" si="79">E263+I263</f>
        <v>7691000</v>
      </c>
      <c r="Q263" s="13">
        <f t="shared" ref="Q263:Q292" si="80">F263+J263</f>
        <v>0</v>
      </c>
      <c r="R263" s="19">
        <f t="shared" ref="R263:R292" si="81">H263+O263</f>
        <v>7691000</v>
      </c>
    </row>
    <row r="264" spans="1:18" s="20" customFormat="1" ht="20.25" customHeight="1" x14ac:dyDescent="0.2">
      <c r="A264" s="16" t="s">
        <v>318</v>
      </c>
      <c r="B264" s="17" t="s">
        <v>49</v>
      </c>
      <c r="C264" s="17" t="s">
        <v>53</v>
      </c>
      <c r="D264" s="23" t="s">
        <v>264</v>
      </c>
      <c r="E264" s="18">
        <v>35000</v>
      </c>
      <c r="F264" s="13">
        <f>G264</f>
        <v>0</v>
      </c>
      <c r="G264" s="13"/>
      <c r="H264" s="19">
        <f>E264+F264</f>
        <v>35000</v>
      </c>
      <c r="I264" s="22">
        <v>0</v>
      </c>
      <c r="J264" s="13">
        <f>K264+L264</f>
        <v>0</v>
      </c>
      <c r="K264" s="13"/>
      <c r="L264" s="13"/>
      <c r="M264" s="13"/>
      <c r="N264" s="13"/>
      <c r="O264" s="19">
        <f>I264+J264</f>
        <v>0</v>
      </c>
      <c r="P264" s="18">
        <f t="shared" si="79"/>
        <v>35000</v>
      </c>
      <c r="Q264" s="13">
        <f t="shared" si="80"/>
        <v>0</v>
      </c>
      <c r="R264" s="19">
        <f t="shared" si="81"/>
        <v>35000</v>
      </c>
    </row>
    <row r="265" spans="1:18" s="20" customFormat="1" ht="21.95" customHeight="1" x14ac:dyDescent="0.2">
      <c r="A265" s="16" t="s">
        <v>311</v>
      </c>
      <c r="B265" s="17" t="s">
        <v>312</v>
      </c>
      <c r="C265" s="17" t="s">
        <v>313</v>
      </c>
      <c r="D265" s="23" t="s">
        <v>314</v>
      </c>
      <c r="E265" s="18">
        <v>335000</v>
      </c>
      <c r="F265" s="13">
        <f>G265</f>
        <v>0</v>
      </c>
      <c r="G265" s="13"/>
      <c r="H265" s="19">
        <f>E265+F265</f>
        <v>335000</v>
      </c>
      <c r="I265" s="22">
        <v>0</v>
      </c>
      <c r="J265" s="13">
        <f>K265+L265</f>
        <v>0</v>
      </c>
      <c r="K265" s="13"/>
      <c r="L265" s="13"/>
      <c r="M265" s="13"/>
      <c r="N265" s="13"/>
      <c r="O265" s="19">
        <f>I265+J265</f>
        <v>0</v>
      </c>
      <c r="P265" s="18">
        <f t="shared" si="79"/>
        <v>335000</v>
      </c>
      <c r="Q265" s="13">
        <f t="shared" si="80"/>
        <v>0</v>
      </c>
      <c r="R265" s="19">
        <f t="shared" si="81"/>
        <v>335000</v>
      </c>
    </row>
    <row r="266" spans="1:18" s="20" customFormat="1" ht="51" customHeight="1" x14ac:dyDescent="0.2">
      <c r="A266" s="16" t="s">
        <v>315</v>
      </c>
      <c r="B266" s="17" t="s">
        <v>316</v>
      </c>
      <c r="C266" s="17" t="s">
        <v>77</v>
      </c>
      <c r="D266" s="23" t="s">
        <v>317</v>
      </c>
      <c r="E266" s="18">
        <v>75000</v>
      </c>
      <c r="F266" s="13">
        <f>G266</f>
        <v>0</v>
      </c>
      <c r="G266" s="13"/>
      <c r="H266" s="19">
        <f>E266+F266</f>
        <v>75000</v>
      </c>
      <c r="I266" s="22">
        <v>0</v>
      </c>
      <c r="J266" s="13"/>
      <c r="K266" s="13"/>
      <c r="L266" s="13"/>
      <c r="M266" s="13"/>
      <c r="N266" s="13"/>
      <c r="O266" s="19">
        <f>I266+J266</f>
        <v>0</v>
      </c>
      <c r="P266" s="18">
        <f t="shared" si="79"/>
        <v>75000</v>
      </c>
      <c r="Q266" s="13">
        <f t="shared" si="80"/>
        <v>0</v>
      </c>
      <c r="R266" s="19">
        <f t="shared" si="81"/>
        <v>75000</v>
      </c>
    </row>
    <row r="267" spans="1:18" s="9" customFormat="1" ht="27.75" customHeight="1" x14ac:dyDescent="0.2">
      <c r="A267" s="29" t="s">
        <v>192</v>
      </c>
      <c r="B267" s="11"/>
      <c r="C267" s="11"/>
      <c r="D267" s="95" t="s">
        <v>28</v>
      </c>
      <c r="E267" s="96">
        <f>75117631-79759-1</f>
        <v>75037871</v>
      </c>
      <c r="F267" s="97">
        <f>F269+F270+F271+F277+F278+F279+F280+F290</f>
        <v>-1549523</v>
      </c>
      <c r="G267" s="97">
        <f>G269+G270+G271+G277+G278+G279+G280+G290</f>
        <v>-1549523</v>
      </c>
      <c r="H267" s="101">
        <f>H269+H270+H271+H277+H278+H279+H280+H290</f>
        <v>73488348</v>
      </c>
      <c r="I267" s="96">
        <v>9157200</v>
      </c>
      <c r="J267" s="97">
        <f t="shared" ref="J267:O267" si="82">J269+J270+J271+J277+J278+J279+J280</f>
        <v>16805000</v>
      </c>
      <c r="K267" s="97">
        <f t="shared" si="82"/>
        <v>0</v>
      </c>
      <c r="L267" s="97">
        <f t="shared" si="82"/>
        <v>16805000</v>
      </c>
      <c r="M267" s="97">
        <f t="shared" si="82"/>
        <v>16805000</v>
      </c>
      <c r="N267" s="97">
        <f t="shared" si="82"/>
        <v>13255000</v>
      </c>
      <c r="O267" s="101">
        <f t="shared" si="82"/>
        <v>25962200</v>
      </c>
      <c r="P267" s="96">
        <f>E267+I267</f>
        <v>84195071</v>
      </c>
      <c r="Q267" s="97">
        <f>F267+J267</f>
        <v>15255477</v>
      </c>
      <c r="R267" s="101">
        <f>H267+O267</f>
        <v>99450548</v>
      </c>
    </row>
    <row r="268" spans="1:18" s="9" customFormat="1" ht="27.75" customHeight="1" x14ac:dyDescent="0.2">
      <c r="A268" s="29" t="s">
        <v>193</v>
      </c>
      <c r="B268" s="11"/>
      <c r="C268" s="11"/>
      <c r="D268" s="95" t="s">
        <v>28</v>
      </c>
      <c r="E268" s="96"/>
      <c r="F268" s="97"/>
      <c r="G268" s="97"/>
      <c r="H268" s="98"/>
      <c r="I268" s="99"/>
      <c r="J268" s="100">
        <f>K268+L268</f>
        <v>0</v>
      </c>
      <c r="K268" s="97"/>
      <c r="L268" s="97"/>
      <c r="M268" s="97"/>
      <c r="N268" s="97"/>
      <c r="O268" s="101"/>
      <c r="P268" s="107"/>
      <c r="Q268" s="100"/>
      <c r="R268" s="102"/>
    </row>
    <row r="269" spans="1:18" s="20" customFormat="1" ht="31.5" customHeight="1" x14ac:dyDescent="0.2">
      <c r="A269" s="16" t="s">
        <v>194</v>
      </c>
      <c r="B269" s="17" t="s">
        <v>123</v>
      </c>
      <c r="C269" s="17" t="s">
        <v>66</v>
      </c>
      <c r="D269" s="60" t="s">
        <v>70</v>
      </c>
      <c r="E269" s="18">
        <v>7690800</v>
      </c>
      <c r="F269" s="13">
        <f>G269</f>
        <v>50000</v>
      </c>
      <c r="G269" s="13">
        <v>50000</v>
      </c>
      <c r="H269" s="19">
        <f>E269+F269</f>
        <v>7740800</v>
      </c>
      <c r="I269" s="18">
        <v>1095200</v>
      </c>
      <c r="J269" s="13">
        <f>K269+L269</f>
        <v>-50000</v>
      </c>
      <c r="K269" s="13"/>
      <c r="L269" s="13">
        <f>-50000</f>
        <v>-50000</v>
      </c>
      <c r="M269" s="13">
        <f>-50000</f>
        <v>-50000</v>
      </c>
      <c r="N269" s="13">
        <f>-50000</f>
        <v>-50000</v>
      </c>
      <c r="O269" s="19">
        <f>I269+J269</f>
        <v>1045200</v>
      </c>
      <c r="P269" s="18">
        <f t="shared" si="79"/>
        <v>8786000</v>
      </c>
      <c r="Q269" s="13">
        <f t="shared" si="80"/>
        <v>0</v>
      </c>
      <c r="R269" s="19">
        <f t="shared" si="81"/>
        <v>8786000</v>
      </c>
    </row>
    <row r="270" spans="1:18" s="20" customFormat="1" ht="18" hidden="1" customHeight="1" x14ac:dyDescent="0.2">
      <c r="A270" s="16"/>
      <c r="B270" s="17"/>
      <c r="C270" s="17"/>
      <c r="D270" s="23"/>
      <c r="E270" s="18">
        <v>0</v>
      </c>
      <c r="F270" s="13">
        <f t="shared" ref="F270:F292" si="83">G270</f>
        <v>0</v>
      </c>
      <c r="G270" s="13"/>
      <c r="H270" s="19">
        <f t="shared" ref="H270:H288" si="84">E270+F270</f>
        <v>0</v>
      </c>
      <c r="I270" s="22">
        <v>0</v>
      </c>
      <c r="J270" s="13">
        <f>K270+L270</f>
        <v>0</v>
      </c>
      <c r="K270" s="13"/>
      <c r="L270" s="13"/>
      <c r="M270" s="13"/>
      <c r="N270" s="13"/>
      <c r="O270" s="19">
        <f t="shared" ref="O270:O289" si="85">I270+J270</f>
        <v>0</v>
      </c>
      <c r="P270" s="18">
        <f t="shared" si="79"/>
        <v>0</v>
      </c>
      <c r="Q270" s="13">
        <f t="shared" si="80"/>
        <v>0</v>
      </c>
      <c r="R270" s="19">
        <f t="shared" si="81"/>
        <v>0</v>
      </c>
    </row>
    <row r="271" spans="1:18" s="20" customFormat="1" ht="26.25" customHeight="1" x14ac:dyDescent="0.2">
      <c r="A271" s="16" t="s">
        <v>287</v>
      </c>
      <c r="B271" s="17" t="s">
        <v>49</v>
      </c>
      <c r="C271" s="17" t="s">
        <v>53</v>
      </c>
      <c r="D271" s="23" t="s">
        <v>288</v>
      </c>
      <c r="E271" s="18">
        <v>6153176</v>
      </c>
      <c r="F271" s="13">
        <f>G271</f>
        <v>-1549523</v>
      </c>
      <c r="G271" s="13">
        <f>-265800-425000-858723</f>
        <v>-1549523</v>
      </c>
      <c r="H271" s="19">
        <f t="shared" si="84"/>
        <v>4603653</v>
      </c>
      <c r="I271" s="18">
        <v>0</v>
      </c>
      <c r="J271" s="13">
        <f>K271+L271</f>
        <v>15000000</v>
      </c>
      <c r="K271" s="13">
        <f>K273+K274+K275+K276</f>
        <v>0</v>
      </c>
      <c r="L271" s="13">
        <f>15000000</f>
        <v>15000000</v>
      </c>
      <c r="M271" s="13">
        <f>15000000</f>
        <v>15000000</v>
      </c>
      <c r="N271" s="13">
        <f>15000000</f>
        <v>15000000</v>
      </c>
      <c r="O271" s="19">
        <f t="shared" si="85"/>
        <v>15000000</v>
      </c>
      <c r="P271" s="18">
        <f t="shared" si="79"/>
        <v>6153176</v>
      </c>
      <c r="Q271" s="13">
        <f t="shared" si="80"/>
        <v>13450477</v>
      </c>
      <c r="R271" s="19">
        <f t="shared" si="81"/>
        <v>19603653</v>
      </c>
    </row>
    <row r="272" spans="1:18" s="20" customFormat="1" ht="16.5" customHeight="1" x14ac:dyDescent="0.2">
      <c r="A272" s="16"/>
      <c r="B272" s="17"/>
      <c r="C272" s="17"/>
      <c r="D272" s="23" t="s">
        <v>81</v>
      </c>
      <c r="E272" s="18">
        <v>0</v>
      </c>
      <c r="F272" s="13"/>
      <c r="G272" s="13"/>
      <c r="H272" s="19">
        <f t="shared" si="84"/>
        <v>0</v>
      </c>
      <c r="I272" s="22">
        <v>0</v>
      </c>
      <c r="J272" s="13">
        <f t="shared" ref="J272:J279" si="86">K272+L272</f>
        <v>0</v>
      </c>
      <c r="K272" s="13"/>
      <c r="L272" s="13"/>
      <c r="M272" s="13"/>
      <c r="N272" s="13"/>
      <c r="O272" s="19">
        <f t="shared" si="85"/>
        <v>0</v>
      </c>
      <c r="P272" s="18"/>
      <c r="Q272" s="13"/>
      <c r="R272" s="19"/>
    </row>
    <row r="273" spans="1:18" s="20" customFormat="1" ht="25.5" customHeight="1" x14ac:dyDescent="0.2">
      <c r="A273" s="16"/>
      <c r="B273" s="17"/>
      <c r="C273" s="17"/>
      <c r="D273" s="21" t="s">
        <v>82</v>
      </c>
      <c r="E273" s="18">
        <v>450000</v>
      </c>
      <c r="F273" s="13">
        <f t="shared" si="83"/>
        <v>0</v>
      </c>
      <c r="G273" s="13"/>
      <c r="H273" s="19">
        <f t="shared" si="84"/>
        <v>450000</v>
      </c>
      <c r="I273" s="22">
        <v>0</v>
      </c>
      <c r="J273" s="13">
        <f t="shared" si="86"/>
        <v>0</v>
      </c>
      <c r="K273" s="13"/>
      <c r="L273" s="13"/>
      <c r="M273" s="13"/>
      <c r="N273" s="13"/>
      <c r="O273" s="19">
        <f t="shared" si="85"/>
        <v>0</v>
      </c>
      <c r="P273" s="18">
        <f t="shared" si="79"/>
        <v>450000</v>
      </c>
      <c r="Q273" s="13">
        <f t="shared" si="80"/>
        <v>0</v>
      </c>
      <c r="R273" s="19">
        <f t="shared" si="81"/>
        <v>450000</v>
      </c>
    </row>
    <row r="274" spans="1:18" s="20" customFormat="1" ht="45" customHeight="1" x14ac:dyDescent="0.2">
      <c r="A274" s="16"/>
      <c r="B274" s="17"/>
      <c r="C274" s="17"/>
      <c r="D274" s="23" t="s">
        <v>110</v>
      </c>
      <c r="E274" s="18">
        <v>2593176</v>
      </c>
      <c r="F274" s="13">
        <f t="shared" si="83"/>
        <v>-1106523</v>
      </c>
      <c r="G274" s="13">
        <f>-265800-840723</f>
        <v>-1106523</v>
      </c>
      <c r="H274" s="19">
        <f t="shared" si="84"/>
        <v>1486653</v>
      </c>
      <c r="I274" s="22">
        <v>0</v>
      </c>
      <c r="J274" s="13">
        <f t="shared" si="86"/>
        <v>0</v>
      </c>
      <c r="K274" s="13"/>
      <c r="L274" s="13"/>
      <c r="M274" s="13"/>
      <c r="N274" s="13"/>
      <c r="O274" s="19">
        <f t="shared" si="85"/>
        <v>0</v>
      </c>
      <c r="P274" s="18">
        <f t="shared" si="79"/>
        <v>2593176</v>
      </c>
      <c r="Q274" s="13">
        <f t="shared" si="80"/>
        <v>-1106523</v>
      </c>
      <c r="R274" s="19">
        <f t="shared" si="81"/>
        <v>1486653</v>
      </c>
    </row>
    <row r="275" spans="1:18" s="20" customFormat="1" ht="36" customHeight="1" x14ac:dyDescent="0.2">
      <c r="A275" s="16"/>
      <c r="B275" s="17"/>
      <c r="C275" s="17"/>
      <c r="D275" s="23" t="s">
        <v>114</v>
      </c>
      <c r="E275" s="18">
        <v>2500000</v>
      </c>
      <c r="F275" s="13">
        <f t="shared" si="83"/>
        <v>0</v>
      </c>
      <c r="G275" s="13"/>
      <c r="H275" s="19">
        <f t="shared" si="84"/>
        <v>2500000</v>
      </c>
      <c r="I275" s="22">
        <v>0</v>
      </c>
      <c r="J275" s="13">
        <f t="shared" si="86"/>
        <v>0</v>
      </c>
      <c r="K275" s="13"/>
      <c r="L275" s="13"/>
      <c r="M275" s="13"/>
      <c r="N275" s="13"/>
      <c r="O275" s="19">
        <f t="shared" si="85"/>
        <v>0</v>
      </c>
      <c r="P275" s="18">
        <f t="shared" si="79"/>
        <v>2500000</v>
      </c>
      <c r="Q275" s="13">
        <f t="shared" si="80"/>
        <v>0</v>
      </c>
      <c r="R275" s="19">
        <f t="shared" si="81"/>
        <v>2500000</v>
      </c>
    </row>
    <row r="276" spans="1:18" s="20" customFormat="1" ht="30.75" customHeight="1" x14ac:dyDescent="0.2">
      <c r="A276" s="16"/>
      <c r="B276" s="17"/>
      <c r="C276" s="17"/>
      <c r="D276" s="61" t="s">
        <v>487</v>
      </c>
      <c r="E276" s="18">
        <v>610000</v>
      </c>
      <c r="F276" s="13">
        <f t="shared" si="83"/>
        <v>-425000</v>
      </c>
      <c r="G276" s="13">
        <f>-295000-50000-40000-40000</f>
        <v>-425000</v>
      </c>
      <c r="H276" s="19">
        <f t="shared" si="84"/>
        <v>185000</v>
      </c>
      <c r="I276" s="22">
        <v>0</v>
      </c>
      <c r="J276" s="13">
        <f t="shared" si="86"/>
        <v>0</v>
      </c>
      <c r="K276" s="13"/>
      <c r="L276" s="13"/>
      <c r="M276" s="13"/>
      <c r="N276" s="13"/>
      <c r="O276" s="19">
        <f t="shared" si="85"/>
        <v>0</v>
      </c>
      <c r="P276" s="18">
        <f t="shared" si="79"/>
        <v>610000</v>
      </c>
      <c r="Q276" s="13">
        <f t="shared" si="80"/>
        <v>-425000</v>
      </c>
      <c r="R276" s="19">
        <f t="shared" si="81"/>
        <v>185000</v>
      </c>
    </row>
    <row r="277" spans="1:18" s="20" customFormat="1" ht="18" customHeight="1" x14ac:dyDescent="0.2">
      <c r="A277" s="16" t="s">
        <v>195</v>
      </c>
      <c r="B277" s="17" t="s">
        <v>170</v>
      </c>
      <c r="C277" s="17" t="s">
        <v>172</v>
      </c>
      <c r="D277" s="23" t="s">
        <v>171</v>
      </c>
      <c r="E277" s="18">
        <v>4570000</v>
      </c>
      <c r="F277" s="13">
        <f t="shared" si="83"/>
        <v>-50000</v>
      </c>
      <c r="G277" s="13">
        <v>-50000</v>
      </c>
      <c r="H277" s="19">
        <f t="shared" si="84"/>
        <v>4520000</v>
      </c>
      <c r="I277" s="22">
        <v>0</v>
      </c>
      <c r="J277" s="13">
        <f t="shared" si="86"/>
        <v>0</v>
      </c>
      <c r="K277" s="13"/>
      <c r="L277" s="13"/>
      <c r="M277" s="13"/>
      <c r="N277" s="13"/>
      <c r="O277" s="19">
        <f t="shared" si="85"/>
        <v>0</v>
      </c>
      <c r="P277" s="18">
        <f t="shared" si="79"/>
        <v>4570000</v>
      </c>
      <c r="Q277" s="13">
        <f t="shared" si="80"/>
        <v>-50000</v>
      </c>
      <c r="R277" s="19">
        <f t="shared" si="81"/>
        <v>4520000</v>
      </c>
    </row>
    <row r="278" spans="1:18" s="20" customFormat="1" ht="15" customHeight="1" x14ac:dyDescent="0.2">
      <c r="A278" s="16" t="s">
        <v>284</v>
      </c>
      <c r="B278" s="17" t="s">
        <v>173</v>
      </c>
      <c r="C278" s="17" t="s">
        <v>53</v>
      </c>
      <c r="D278" s="23" t="s">
        <v>29</v>
      </c>
      <c r="E278" s="18">
        <f>923755-49759-30000-1</f>
        <v>843995</v>
      </c>
      <c r="F278" s="13">
        <f t="shared" si="83"/>
        <v>0</v>
      </c>
      <c r="G278" s="13"/>
      <c r="H278" s="19">
        <f t="shared" si="84"/>
        <v>843995</v>
      </c>
      <c r="I278" s="22">
        <v>0</v>
      </c>
      <c r="J278" s="13">
        <f t="shared" si="86"/>
        <v>0</v>
      </c>
      <c r="K278" s="13"/>
      <c r="L278" s="13"/>
      <c r="M278" s="13"/>
      <c r="N278" s="13"/>
      <c r="O278" s="19">
        <f t="shared" si="85"/>
        <v>0</v>
      </c>
      <c r="P278" s="18">
        <f t="shared" si="79"/>
        <v>843995</v>
      </c>
      <c r="Q278" s="13">
        <f t="shared" si="80"/>
        <v>0</v>
      </c>
      <c r="R278" s="19">
        <f t="shared" si="81"/>
        <v>843995</v>
      </c>
    </row>
    <row r="279" spans="1:18" s="20" customFormat="1" ht="19.5" customHeight="1" x14ac:dyDescent="0.2">
      <c r="A279" s="16" t="s">
        <v>285</v>
      </c>
      <c r="B279" s="17" t="s">
        <v>176</v>
      </c>
      <c r="C279" s="17" t="s">
        <v>49</v>
      </c>
      <c r="D279" s="60" t="s">
        <v>52</v>
      </c>
      <c r="E279" s="18">
        <v>51879900</v>
      </c>
      <c r="F279" s="13">
        <f t="shared" si="83"/>
        <v>0</v>
      </c>
      <c r="G279" s="13"/>
      <c r="H279" s="19">
        <f t="shared" si="84"/>
        <v>51879900</v>
      </c>
      <c r="I279" s="22">
        <v>0</v>
      </c>
      <c r="J279" s="13">
        <f t="shared" si="86"/>
        <v>0</v>
      </c>
      <c r="K279" s="13"/>
      <c r="L279" s="13"/>
      <c r="M279" s="13"/>
      <c r="N279" s="13"/>
      <c r="O279" s="19">
        <f t="shared" si="85"/>
        <v>0</v>
      </c>
      <c r="P279" s="18">
        <f t="shared" si="79"/>
        <v>51879900</v>
      </c>
      <c r="Q279" s="13">
        <f t="shared" si="80"/>
        <v>0</v>
      </c>
      <c r="R279" s="19">
        <f t="shared" si="81"/>
        <v>51879900</v>
      </c>
    </row>
    <row r="280" spans="1:18" s="20" customFormat="1" ht="21.95" customHeight="1" x14ac:dyDescent="0.2">
      <c r="A280" s="16" t="s">
        <v>286</v>
      </c>
      <c r="B280" s="17" t="s">
        <v>174</v>
      </c>
      <c r="C280" s="17" t="s">
        <v>49</v>
      </c>
      <c r="D280" s="23" t="s">
        <v>175</v>
      </c>
      <c r="E280" s="18">
        <v>3600000</v>
      </c>
      <c r="F280" s="13">
        <f t="shared" si="83"/>
        <v>0</v>
      </c>
      <c r="G280" s="13"/>
      <c r="H280" s="19">
        <f>E280+F280</f>
        <v>3600000</v>
      </c>
      <c r="I280" s="18">
        <v>8062000</v>
      </c>
      <c r="J280" s="13">
        <f>K280+L280</f>
        <v>1855000</v>
      </c>
      <c r="K280" s="13"/>
      <c r="L280" s="13">
        <f>1100000+355000+400000</f>
        <v>1855000</v>
      </c>
      <c r="M280" s="13">
        <f>1100000+355000+400000</f>
        <v>1855000</v>
      </c>
      <c r="N280" s="13">
        <f>1100000+355000-3550000+400000</f>
        <v>-1695000</v>
      </c>
      <c r="O280" s="19">
        <f t="shared" si="85"/>
        <v>9917000</v>
      </c>
      <c r="P280" s="18">
        <f t="shared" si="79"/>
        <v>11662000</v>
      </c>
      <c r="Q280" s="13">
        <f t="shared" si="80"/>
        <v>1855000</v>
      </c>
      <c r="R280" s="19">
        <f t="shared" si="81"/>
        <v>13517000</v>
      </c>
    </row>
    <row r="281" spans="1:18" s="20" customFormat="1" ht="11.25" customHeight="1" x14ac:dyDescent="0.2">
      <c r="A281" s="16"/>
      <c r="B281" s="17"/>
      <c r="C281" s="17"/>
      <c r="D281" s="23" t="s">
        <v>525</v>
      </c>
      <c r="E281" s="18"/>
      <c r="F281" s="13"/>
      <c r="G281" s="13"/>
      <c r="H281" s="19"/>
      <c r="I281" s="18"/>
      <c r="J281" s="13"/>
      <c r="K281" s="13"/>
      <c r="L281" s="13"/>
      <c r="M281" s="13"/>
      <c r="N281" s="13"/>
      <c r="O281" s="19"/>
      <c r="P281" s="18"/>
      <c r="Q281" s="13"/>
      <c r="R281" s="19"/>
    </row>
    <row r="282" spans="1:18" s="20" customFormat="1" ht="36" customHeight="1" x14ac:dyDescent="0.2">
      <c r="A282" s="16"/>
      <c r="B282" s="17"/>
      <c r="C282" s="17"/>
      <c r="D282" s="23" t="s">
        <v>468</v>
      </c>
      <c r="E282" s="18">
        <v>200000</v>
      </c>
      <c r="F282" s="13">
        <f t="shared" si="83"/>
        <v>0</v>
      </c>
      <c r="G282" s="13"/>
      <c r="H282" s="19">
        <f t="shared" si="84"/>
        <v>200000</v>
      </c>
      <c r="I282" s="18">
        <v>0</v>
      </c>
      <c r="J282" s="13"/>
      <c r="K282" s="13"/>
      <c r="L282" s="13"/>
      <c r="M282" s="13"/>
      <c r="N282" s="13"/>
      <c r="O282" s="19">
        <f t="shared" si="85"/>
        <v>0</v>
      </c>
      <c r="P282" s="18">
        <f t="shared" si="79"/>
        <v>200000</v>
      </c>
      <c r="Q282" s="13">
        <f t="shared" si="80"/>
        <v>0</v>
      </c>
      <c r="R282" s="19">
        <f t="shared" si="81"/>
        <v>200000</v>
      </c>
    </row>
    <row r="283" spans="1:18" s="20" customFormat="1" ht="36" customHeight="1" x14ac:dyDescent="0.2">
      <c r="A283" s="16"/>
      <c r="B283" s="17"/>
      <c r="C283" s="17"/>
      <c r="D283" s="23" t="s">
        <v>469</v>
      </c>
      <c r="E283" s="18">
        <v>400000</v>
      </c>
      <c r="F283" s="13">
        <f t="shared" si="83"/>
        <v>0</v>
      </c>
      <c r="G283" s="13"/>
      <c r="H283" s="19">
        <f t="shared" si="84"/>
        <v>400000</v>
      </c>
      <c r="I283" s="18">
        <v>0</v>
      </c>
      <c r="J283" s="13"/>
      <c r="K283" s="13"/>
      <c r="L283" s="13"/>
      <c r="M283" s="13"/>
      <c r="N283" s="13"/>
      <c r="O283" s="19">
        <f t="shared" si="85"/>
        <v>0</v>
      </c>
      <c r="P283" s="18">
        <f t="shared" si="79"/>
        <v>400000</v>
      </c>
      <c r="Q283" s="13">
        <f t="shared" si="80"/>
        <v>0</v>
      </c>
      <c r="R283" s="19">
        <f t="shared" si="81"/>
        <v>400000</v>
      </c>
    </row>
    <row r="284" spans="1:18" s="20" customFormat="1" ht="36" x14ac:dyDescent="0.2">
      <c r="A284" s="16"/>
      <c r="B284" s="17"/>
      <c r="C284" s="17"/>
      <c r="D284" s="23" t="s">
        <v>462</v>
      </c>
      <c r="E284" s="18">
        <v>0</v>
      </c>
      <c r="F284" s="13">
        <f t="shared" si="83"/>
        <v>0</v>
      </c>
      <c r="G284" s="13"/>
      <c r="H284" s="19">
        <f t="shared" si="84"/>
        <v>0</v>
      </c>
      <c r="I284" s="18">
        <v>300000</v>
      </c>
      <c r="J284" s="13">
        <f t="shared" ref="J284:J289" si="87">K284+L284</f>
        <v>0</v>
      </c>
      <c r="K284" s="13"/>
      <c r="L284" s="13"/>
      <c r="M284" s="13"/>
      <c r="N284" s="13"/>
      <c r="O284" s="19">
        <f t="shared" si="85"/>
        <v>300000</v>
      </c>
      <c r="P284" s="18">
        <f t="shared" si="79"/>
        <v>300000</v>
      </c>
      <c r="Q284" s="13">
        <f t="shared" si="80"/>
        <v>0</v>
      </c>
      <c r="R284" s="19">
        <f t="shared" si="81"/>
        <v>300000</v>
      </c>
    </row>
    <row r="285" spans="1:18" s="20" customFormat="1" ht="14.45" customHeight="1" x14ac:dyDescent="0.2">
      <c r="A285" s="16"/>
      <c r="B285" s="17"/>
      <c r="C285" s="17"/>
      <c r="D285" s="23" t="s">
        <v>326</v>
      </c>
      <c r="E285" s="18">
        <v>2175000</v>
      </c>
      <c r="F285" s="13">
        <f t="shared" si="83"/>
        <v>0</v>
      </c>
      <c r="G285" s="13"/>
      <c r="H285" s="19">
        <f t="shared" si="84"/>
        <v>2175000</v>
      </c>
      <c r="I285" s="18">
        <v>1450000</v>
      </c>
      <c r="J285" s="13">
        <f t="shared" si="87"/>
        <v>0</v>
      </c>
      <c r="K285" s="13"/>
      <c r="L285" s="13"/>
      <c r="M285" s="13"/>
      <c r="N285" s="13"/>
      <c r="O285" s="19">
        <f t="shared" si="85"/>
        <v>1450000</v>
      </c>
      <c r="P285" s="18">
        <f t="shared" si="79"/>
        <v>3625000</v>
      </c>
      <c r="Q285" s="13">
        <f t="shared" si="80"/>
        <v>0</v>
      </c>
      <c r="R285" s="19">
        <f t="shared" si="81"/>
        <v>3625000</v>
      </c>
    </row>
    <row r="286" spans="1:18" s="20" customFormat="1" ht="14.45" customHeight="1" x14ac:dyDescent="0.2">
      <c r="A286" s="16"/>
      <c r="B286" s="17"/>
      <c r="C286" s="17"/>
      <c r="D286" s="23" t="s">
        <v>327</v>
      </c>
      <c r="E286" s="18">
        <v>272000</v>
      </c>
      <c r="F286" s="13">
        <f t="shared" si="83"/>
        <v>0</v>
      </c>
      <c r="G286" s="13"/>
      <c r="H286" s="19">
        <f t="shared" si="84"/>
        <v>272000</v>
      </c>
      <c r="I286" s="18">
        <v>1450000</v>
      </c>
      <c r="J286" s="13">
        <f t="shared" si="87"/>
        <v>400000</v>
      </c>
      <c r="K286" s="13"/>
      <c r="L286" s="13">
        <f>400000</f>
        <v>400000</v>
      </c>
      <c r="M286" s="13">
        <f>400000</f>
        <v>400000</v>
      </c>
      <c r="N286" s="13">
        <f>400000</f>
        <v>400000</v>
      </c>
      <c r="O286" s="19">
        <f t="shared" si="85"/>
        <v>1850000</v>
      </c>
      <c r="P286" s="18">
        <f t="shared" si="79"/>
        <v>1722000</v>
      </c>
      <c r="Q286" s="13">
        <f t="shared" si="80"/>
        <v>400000</v>
      </c>
      <c r="R286" s="19">
        <f t="shared" si="81"/>
        <v>2122000</v>
      </c>
    </row>
    <row r="287" spans="1:18" s="20" customFormat="1" ht="14.45" customHeight="1" x14ac:dyDescent="0.2">
      <c r="A287" s="16"/>
      <c r="B287" s="17"/>
      <c r="C287" s="17"/>
      <c r="D287" s="23" t="s">
        <v>328</v>
      </c>
      <c r="E287" s="18">
        <v>215500</v>
      </c>
      <c r="F287" s="13">
        <f t="shared" si="83"/>
        <v>0</v>
      </c>
      <c r="G287" s="13"/>
      <c r="H287" s="19">
        <f t="shared" si="84"/>
        <v>215500</v>
      </c>
      <c r="I287" s="18">
        <f>1550000+12000</f>
        <v>1562000</v>
      </c>
      <c r="J287" s="13">
        <f t="shared" si="87"/>
        <v>955000</v>
      </c>
      <c r="K287" s="13"/>
      <c r="L287" s="13">
        <f>600000+355000</f>
        <v>955000</v>
      </c>
      <c r="M287" s="13">
        <f>600000+355000</f>
        <v>955000</v>
      </c>
      <c r="N287" s="13">
        <f>600000+355000-850000</f>
        <v>105000</v>
      </c>
      <c r="O287" s="19">
        <f t="shared" si="85"/>
        <v>2517000</v>
      </c>
      <c r="P287" s="18">
        <f t="shared" si="79"/>
        <v>1777500</v>
      </c>
      <c r="Q287" s="13">
        <f t="shared" si="80"/>
        <v>955000</v>
      </c>
      <c r="R287" s="19">
        <f t="shared" si="81"/>
        <v>2732500</v>
      </c>
    </row>
    <row r="288" spans="1:18" s="20" customFormat="1" ht="14.45" customHeight="1" x14ac:dyDescent="0.2">
      <c r="A288" s="16"/>
      <c r="B288" s="17"/>
      <c r="C288" s="17"/>
      <c r="D288" s="23" t="s">
        <v>329</v>
      </c>
      <c r="E288" s="18">
        <v>212500</v>
      </c>
      <c r="F288" s="13">
        <f t="shared" si="83"/>
        <v>0</v>
      </c>
      <c r="G288" s="13"/>
      <c r="H288" s="19">
        <f t="shared" si="84"/>
        <v>212500</v>
      </c>
      <c r="I288" s="18">
        <v>1550000</v>
      </c>
      <c r="J288" s="13">
        <f t="shared" si="87"/>
        <v>300000</v>
      </c>
      <c r="K288" s="13"/>
      <c r="L288" s="13">
        <f>300000</f>
        <v>300000</v>
      </c>
      <c r="M288" s="13">
        <f>300000</f>
        <v>300000</v>
      </c>
      <c r="N288" s="13">
        <f>300000-1450000</f>
        <v>-1150000</v>
      </c>
      <c r="O288" s="19">
        <f t="shared" si="85"/>
        <v>1850000</v>
      </c>
      <c r="P288" s="18">
        <f t="shared" si="79"/>
        <v>1762500</v>
      </c>
      <c r="Q288" s="13">
        <f t="shared" si="80"/>
        <v>300000</v>
      </c>
      <c r="R288" s="19">
        <f t="shared" si="81"/>
        <v>2062500</v>
      </c>
    </row>
    <row r="289" spans="1:18" s="20" customFormat="1" ht="14.45" customHeight="1" x14ac:dyDescent="0.2">
      <c r="A289" s="16"/>
      <c r="B289" s="17"/>
      <c r="C289" s="17"/>
      <c r="D289" s="23" t="s">
        <v>330</v>
      </c>
      <c r="E289" s="18">
        <v>125000</v>
      </c>
      <c r="F289" s="13">
        <f>G289</f>
        <v>0</v>
      </c>
      <c r="G289" s="13"/>
      <c r="H289" s="19">
        <f>E289+F289</f>
        <v>125000</v>
      </c>
      <c r="I289" s="18">
        <f>1750000+200000</f>
        <v>1950000</v>
      </c>
      <c r="J289" s="13">
        <f t="shared" si="87"/>
        <v>200000</v>
      </c>
      <c r="K289" s="13"/>
      <c r="L289" s="13">
        <f>200000</f>
        <v>200000</v>
      </c>
      <c r="M289" s="13">
        <f>200000</f>
        <v>200000</v>
      </c>
      <c r="N289" s="13">
        <f>200000-1250000</f>
        <v>-1050000</v>
      </c>
      <c r="O289" s="19">
        <f t="shared" si="85"/>
        <v>2150000</v>
      </c>
      <c r="P289" s="18">
        <f t="shared" si="79"/>
        <v>2075000</v>
      </c>
      <c r="Q289" s="13">
        <f>F289+J289</f>
        <v>200000</v>
      </c>
      <c r="R289" s="19">
        <f t="shared" si="81"/>
        <v>2275000</v>
      </c>
    </row>
    <row r="290" spans="1:18" s="20" customFormat="1" ht="37.5" customHeight="1" x14ac:dyDescent="0.2">
      <c r="A290" s="16" t="s">
        <v>488</v>
      </c>
      <c r="B290" s="17" t="s">
        <v>489</v>
      </c>
      <c r="C290" s="17" t="s">
        <v>49</v>
      </c>
      <c r="D290" s="23" t="s">
        <v>524</v>
      </c>
      <c r="E290" s="18">
        <v>300000</v>
      </c>
      <c r="F290" s="13">
        <f>G290</f>
        <v>0</v>
      </c>
      <c r="G290" s="13"/>
      <c r="H290" s="19">
        <f>E290+F290</f>
        <v>300000</v>
      </c>
      <c r="I290" s="18"/>
      <c r="J290" s="13"/>
      <c r="K290" s="13"/>
      <c r="L290" s="13"/>
      <c r="M290" s="13"/>
      <c r="N290" s="13"/>
      <c r="O290" s="19"/>
      <c r="P290" s="18">
        <f t="shared" si="79"/>
        <v>300000</v>
      </c>
      <c r="Q290" s="13">
        <f>F290+J290</f>
        <v>0</v>
      </c>
      <c r="R290" s="19">
        <f t="shared" si="81"/>
        <v>300000</v>
      </c>
    </row>
    <row r="291" spans="1:18" s="20" customFormat="1" ht="13.5" customHeight="1" x14ac:dyDescent="0.2">
      <c r="A291" s="16"/>
      <c r="B291" s="17"/>
      <c r="C291" s="17"/>
      <c r="D291" s="23" t="s">
        <v>304</v>
      </c>
      <c r="E291" s="18"/>
      <c r="F291" s="13"/>
      <c r="G291" s="13"/>
      <c r="H291" s="19"/>
      <c r="I291" s="18"/>
      <c r="J291" s="13"/>
      <c r="K291" s="13"/>
      <c r="L291" s="13"/>
      <c r="M291" s="13"/>
      <c r="N291" s="13"/>
      <c r="O291" s="19"/>
      <c r="P291" s="18">
        <f t="shared" si="79"/>
        <v>0</v>
      </c>
      <c r="Q291" s="13"/>
      <c r="R291" s="19"/>
    </row>
    <row r="292" spans="1:18" s="20" customFormat="1" ht="58.5" customHeight="1" x14ac:dyDescent="0.2">
      <c r="A292" s="16"/>
      <c r="B292" s="17"/>
      <c r="C292" s="17"/>
      <c r="D292" s="23" t="s">
        <v>492</v>
      </c>
      <c r="E292" s="18">
        <v>80000</v>
      </c>
      <c r="F292" s="13">
        <f t="shared" si="83"/>
        <v>0</v>
      </c>
      <c r="G292" s="13"/>
      <c r="H292" s="19">
        <f>E292+F292</f>
        <v>80000</v>
      </c>
      <c r="I292" s="18"/>
      <c r="J292" s="13"/>
      <c r="K292" s="13"/>
      <c r="L292" s="13"/>
      <c r="M292" s="13"/>
      <c r="N292" s="13"/>
      <c r="O292" s="19"/>
      <c r="P292" s="18">
        <f t="shared" si="79"/>
        <v>80000</v>
      </c>
      <c r="Q292" s="13">
        <f t="shared" si="80"/>
        <v>0</v>
      </c>
      <c r="R292" s="19">
        <f t="shared" si="81"/>
        <v>80000</v>
      </c>
    </row>
    <row r="293" spans="1:18" s="20" customFormat="1" ht="58.5" customHeight="1" thickBot="1" x14ac:dyDescent="0.25">
      <c r="A293" s="62"/>
      <c r="B293" s="63"/>
      <c r="C293" s="63"/>
      <c r="D293" s="90" t="s">
        <v>523</v>
      </c>
      <c r="E293" s="64">
        <v>220000</v>
      </c>
      <c r="F293" s="65">
        <f>G293</f>
        <v>0</v>
      </c>
      <c r="G293" s="65"/>
      <c r="H293" s="66">
        <f>E293+F293</f>
        <v>220000</v>
      </c>
      <c r="I293" s="64"/>
      <c r="J293" s="65"/>
      <c r="K293" s="65"/>
      <c r="L293" s="65"/>
      <c r="M293" s="65"/>
      <c r="N293" s="65"/>
      <c r="O293" s="66"/>
      <c r="P293" s="18">
        <f t="shared" si="79"/>
        <v>220000</v>
      </c>
      <c r="Q293" s="65">
        <f>F293+J293</f>
        <v>0</v>
      </c>
      <c r="R293" s="66">
        <f>H293+O293</f>
        <v>220000</v>
      </c>
    </row>
    <row r="294" spans="1:18" s="9" customFormat="1" ht="19.5" customHeight="1" thickBot="1" x14ac:dyDescent="0.25">
      <c r="A294" s="116"/>
      <c r="B294" s="135" t="s">
        <v>4</v>
      </c>
      <c r="C294" s="136"/>
      <c r="D294" s="137"/>
      <c r="E294" s="67">
        <f t="shared" ref="E294:O294" si="88">E9+E47+E83+E106+E154+E159+E189+E261+E202+E225+E235+E244+E267+E176</f>
        <v>2175344663</v>
      </c>
      <c r="F294" s="68">
        <f t="shared" si="88"/>
        <v>-203927</v>
      </c>
      <c r="G294" s="68">
        <f t="shared" si="88"/>
        <v>-203927</v>
      </c>
      <c r="H294" s="69">
        <f t="shared" si="88"/>
        <v>2175140736</v>
      </c>
      <c r="I294" s="67">
        <f t="shared" si="88"/>
        <v>1476551496</v>
      </c>
      <c r="J294" s="68">
        <f t="shared" si="88"/>
        <v>22126643</v>
      </c>
      <c r="K294" s="68">
        <f t="shared" si="88"/>
        <v>201000</v>
      </c>
      <c r="L294" s="68">
        <f t="shared" si="88"/>
        <v>21925643</v>
      </c>
      <c r="M294" s="68">
        <f t="shared" si="88"/>
        <v>22126643</v>
      </c>
      <c r="N294" s="68">
        <f t="shared" si="88"/>
        <v>4263843</v>
      </c>
      <c r="O294" s="69">
        <f t="shared" si="88"/>
        <v>1498678139</v>
      </c>
      <c r="P294" s="67">
        <f>E294+I294</f>
        <v>3651896159</v>
      </c>
      <c r="Q294" s="68">
        <f>F294+J294</f>
        <v>21922716</v>
      </c>
      <c r="R294" s="69">
        <f>H294+O294</f>
        <v>3673818875</v>
      </c>
    </row>
    <row r="295" spans="1:18" s="1" customFormat="1" ht="19.5" customHeight="1" x14ac:dyDescent="0.2">
      <c r="B295" s="2"/>
      <c r="C295" s="2"/>
      <c r="E295" s="70"/>
      <c r="F295" s="70"/>
      <c r="G295" s="70"/>
      <c r="H295" s="71"/>
      <c r="K295" s="70"/>
      <c r="M295" s="70"/>
      <c r="N295" s="72"/>
      <c r="O295" s="72"/>
    </row>
    <row r="296" spans="1:18" s="1" customFormat="1" ht="15.75" x14ac:dyDescent="0.25">
      <c r="B296" s="138" t="s">
        <v>539</v>
      </c>
      <c r="C296" s="139"/>
      <c r="D296" s="139"/>
      <c r="E296" s="139"/>
      <c r="F296" s="139"/>
      <c r="G296" s="139"/>
      <c r="H296" s="139"/>
      <c r="I296" s="139"/>
      <c r="J296" s="139"/>
      <c r="K296" s="139"/>
      <c r="L296" s="140" t="s">
        <v>522</v>
      </c>
      <c r="M296" s="140"/>
      <c r="N296" s="140"/>
      <c r="O296" s="140"/>
      <c r="P296" s="140"/>
    </row>
    <row r="297" spans="1:18" ht="11.45" customHeight="1" x14ac:dyDescent="0.2">
      <c r="E297" s="74"/>
      <c r="F297" s="74"/>
      <c r="G297" s="74"/>
      <c r="J297" s="75"/>
    </row>
    <row r="298" spans="1:18" ht="24" customHeight="1" x14ac:dyDescent="0.2">
      <c r="E298" s="77"/>
      <c r="F298" s="77"/>
      <c r="G298" s="77"/>
      <c r="H298" s="78"/>
      <c r="I298" s="75"/>
      <c r="J298" s="75"/>
      <c r="L298" s="75"/>
      <c r="N298" s="74"/>
      <c r="O298" s="74"/>
    </row>
    <row r="299" spans="1:18" ht="11.45" customHeight="1" x14ac:dyDescent="0.2">
      <c r="E299" s="79"/>
      <c r="F299" s="79"/>
      <c r="G299" s="79"/>
      <c r="K299" s="75"/>
      <c r="L299" s="75"/>
    </row>
    <row r="300" spans="1:18" ht="11.45" customHeight="1" x14ac:dyDescent="0.2">
      <c r="E300" s="74"/>
      <c r="F300" s="74"/>
      <c r="G300" s="74"/>
    </row>
    <row r="301" spans="1:18" ht="11.45" customHeight="1" x14ac:dyDescent="0.2">
      <c r="E301" s="74"/>
      <c r="F301" s="74"/>
      <c r="G301" s="74"/>
      <c r="K301" s="75"/>
    </row>
  </sheetData>
  <sheetProtection password="BBF2" sheet="1" formatCells="0" formatColumns="0" formatRows="0" insertColumns="0" insertRows="0" insertHyperlinks="0" deleteColumns="0" deleteRows="0" sort="0" autoFilter="0" pivotTables="0"/>
  <mergeCells count="26">
    <mergeCell ref="B294:D294"/>
    <mergeCell ref="B296:K296"/>
    <mergeCell ref="L296:P296"/>
    <mergeCell ref="G7:G8"/>
    <mergeCell ref="L7:L8"/>
    <mergeCell ref="E6:E8"/>
    <mergeCell ref="F6:G6"/>
    <mergeCell ref="F7:F8"/>
    <mergeCell ref="P5:R7"/>
    <mergeCell ref="I6:I8"/>
    <mergeCell ref="O6:O8"/>
    <mergeCell ref="I5:O5"/>
    <mergeCell ref="J7:J8"/>
    <mergeCell ref="K7:K8"/>
    <mergeCell ref="M7:N7"/>
    <mergeCell ref="A5:A8"/>
    <mergeCell ref="B5:B8"/>
    <mergeCell ref="D5:D8"/>
    <mergeCell ref="H6:H8"/>
    <mergeCell ref="C5:C8"/>
    <mergeCell ref="E5:H5"/>
    <mergeCell ref="B1:K1"/>
    <mergeCell ref="M1:P1"/>
    <mergeCell ref="B2:K2"/>
    <mergeCell ref="M2:P2"/>
    <mergeCell ref="J6:N6"/>
  </mergeCells>
  <phoneticPr fontId="10" type="noConversion"/>
  <printOptions horizontalCentered="1"/>
  <pageMargins left="0" right="0" top="1.3779527559055118" bottom="0" header="0.51181102362204722" footer="0.51181102362204722"/>
  <pageSetup paperSize="9" scale="57" fitToHeight="30" orientation="landscape" r:id="rId1"/>
  <ignoredErrors>
    <ignoredError sqref="J81 J78 J66 J64 J153 J150 J103:J104 J121:J127 J70:J7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Motruk</dc:creator>
  <cp:lastModifiedBy>Жигайло</cp:lastModifiedBy>
  <cp:lastPrinted>2018-06-04T14:57:34Z</cp:lastPrinted>
  <dcterms:created xsi:type="dcterms:W3CDTF">2016-12-02T14:24:23Z</dcterms:created>
  <dcterms:modified xsi:type="dcterms:W3CDTF">2018-06-06T05:30:55Z</dcterms:modified>
</cp:coreProperties>
</file>