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60" windowWidth="15570" windowHeight="10635" tabRatio="0"/>
  </bookViews>
  <sheets>
    <sheet name="TDSheet" sheetId="1" r:id="rId1"/>
  </sheets>
  <definedNames>
    <definedName name="_xlnm.Print_Titles" localSheetId="0">TDSheet!$5:$8</definedName>
    <definedName name="_xlnm.Print_Area" localSheetId="0">TDSheet!$A$1:$R$317</definedName>
  </definedNames>
  <calcPr calcId="152511"/>
</workbook>
</file>

<file path=xl/calcChain.xml><?xml version="1.0" encoding="utf-8"?>
<calcChain xmlns="http://schemas.openxmlformats.org/spreadsheetml/2006/main">
  <c r="G56" i="1" l="1"/>
  <c r="M90" i="1"/>
  <c r="L90" i="1"/>
  <c r="M227" i="1"/>
  <c r="L227" i="1"/>
  <c r="J58" i="1"/>
  <c r="P58" i="1"/>
  <c r="P59" i="1"/>
  <c r="P60" i="1"/>
  <c r="M59" i="1"/>
  <c r="L59" i="1"/>
  <c r="J59" i="1" s="1"/>
  <c r="O59" i="1"/>
  <c r="M63" i="1"/>
  <c r="L63" i="1"/>
  <c r="J63" i="1" s="1"/>
  <c r="O63" i="1" s="1"/>
  <c r="M56" i="1"/>
  <c r="L56" i="1"/>
  <c r="J56" i="1" s="1"/>
  <c r="O56" i="1" s="1"/>
  <c r="M52" i="1"/>
  <c r="L52" i="1"/>
  <c r="J52" i="1" s="1"/>
  <c r="O52" i="1" s="1"/>
  <c r="M51" i="1"/>
  <c r="L51" i="1"/>
  <c r="J51" i="1" s="1"/>
  <c r="M304" i="1"/>
  <c r="L304" i="1"/>
  <c r="M308" i="1"/>
  <c r="L308" i="1"/>
  <c r="J308" i="1" s="1"/>
  <c r="M293" i="1"/>
  <c r="M277" i="1"/>
  <c r="L293" i="1"/>
  <c r="M253" i="1"/>
  <c r="L253" i="1"/>
  <c r="M251" i="1"/>
  <c r="L251" i="1"/>
  <c r="M249" i="1"/>
  <c r="L249" i="1"/>
  <c r="M244" i="1"/>
  <c r="L244" i="1"/>
  <c r="G96" i="1"/>
  <c r="G92" i="1"/>
  <c r="F92" i="1"/>
  <c r="M232" i="1"/>
  <c r="L232" i="1"/>
  <c r="M230" i="1"/>
  <c r="L230" i="1"/>
  <c r="J230" i="1"/>
  <c r="O230" i="1" s="1"/>
  <c r="M229" i="1"/>
  <c r="L229" i="1"/>
  <c r="M225" i="1"/>
  <c r="L225" i="1"/>
  <c r="J225" i="1" s="1"/>
  <c r="M224" i="1"/>
  <c r="L224" i="1"/>
  <c r="M223" i="1"/>
  <c r="L223" i="1"/>
  <c r="J223" i="1"/>
  <c r="O223" i="1" s="1"/>
  <c r="M219" i="1"/>
  <c r="L219" i="1"/>
  <c r="M218" i="1"/>
  <c r="L218" i="1"/>
  <c r="J218" i="1"/>
  <c r="O218" i="1" s="1"/>
  <c r="M216" i="1"/>
  <c r="L216" i="1"/>
  <c r="M215" i="1"/>
  <c r="L215" i="1"/>
  <c r="J215" i="1" s="1"/>
  <c r="M207" i="1"/>
  <c r="L207" i="1"/>
  <c r="M205" i="1"/>
  <c r="L205" i="1"/>
  <c r="J205" i="1"/>
  <c r="O205" i="1" s="1"/>
  <c r="M204" i="1"/>
  <c r="L204" i="1"/>
  <c r="M201" i="1"/>
  <c r="L201" i="1"/>
  <c r="M88" i="1"/>
  <c r="L88" i="1"/>
  <c r="M80" i="1"/>
  <c r="L80" i="1"/>
  <c r="M78" i="1"/>
  <c r="L78" i="1"/>
  <c r="F88" i="1"/>
  <c r="M24" i="1"/>
  <c r="L24" i="1"/>
  <c r="M44" i="1"/>
  <c r="L44" i="1"/>
  <c r="M42" i="1"/>
  <c r="L42" i="1"/>
  <c r="M31" i="1"/>
  <c r="L31" i="1"/>
  <c r="M32" i="1"/>
  <c r="L32" i="1"/>
  <c r="M28" i="1"/>
  <c r="L28" i="1"/>
  <c r="M11" i="1"/>
  <c r="L11" i="1"/>
  <c r="M143" i="1"/>
  <c r="N143" i="1"/>
  <c r="L143" i="1"/>
  <c r="J143" i="1" s="1"/>
  <c r="P109" i="1"/>
  <c r="K109" i="1"/>
  <c r="P143" i="1"/>
  <c r="M142" i="1"/>
  <c r="M109" i="1"/>
  <c r="N142" i="1"/>
  <c r="N109" i="1"/>
  <c r="L142" i="1"/>
  <c r="L109" i="1"/>
  <c r="M231" i="1"/>
  <c r="M211" i="1"/>
  <c r="N231" i="1"/>
  <c r="L231" i="1"/>
  <c r="J231" i="1" s="1"/>
  <c r="M107" i="1"/>
  <c r="N107" i="1"/>
  <c r="L107" i="1"/>
  <c r="J107" i="1" s="1"/>
  <c r="N304" i="1"/>
  <c r="M305" i="1"/>
  <c r="N305" i="1"/>
  <c r="L305" i="1"/>
  <c r="J305" i="1" s="1"/>
  <c r="M298" i="1"/>
  <c r="N298" i="1"/>
  <c r="L298" i="1"/>
  <c r="J298" i="1" s="1"/>
  <c r="P298" i="1"/>
  <c r="N308" i="1"/>
  <c r="M306" i="1"/>
  <c r="N306" i="1"/>
  <c r="L306" i="1"/>
  <c r="J306" i="1" s="1"/>
  <c r="N293" i="1"/>
  <c r="P254" i="1"/>
  <c r="K254" i="1"/>
  <c r="M259" i="1"/>
  <c r="M254" i="1"/>
  <c r="N259" i="1"/>
  <c r="N254" i="1"/>
  <c r="L259" i="1"/>
  <c r="L254" i="1" s="1"/>
  <c r="J259" i="1"/>
  <c r="N253" i="1"/>
  <c r="N251" i="1"/>
  <c r="N249" i="1"/>
  <c r="N244" i="1"/>
  <c r="M241" i="1"/>
  <c r="N241" i="1"/>
  <c r="L241" i="1"/>
  <c r="M238" i="1"/>
  <c r="N238" i="1"/>
  <c r="L238" i="1"/>
  <c r="M237" i="1"/>
  <c r="N237" i="1"/>
  <c r="L237" i="1"/>
  <c r="N232" i="1"/>
  <c r="N230" i="1"/>
  <c r="N229" i="1"/>
  <c r="M228" i="1"/>
  <c r="N228" i="1"/>
  <c r="L228" i="1"/>
  <c r="N225" i="1"/>
  <c r="N224" i="1"/>
  <c r="N223" i="1"/>
  <c r="M222" i="1"/>
  <c r="N222" i="1"/>
  <c r="L222" i="1"/>
  <c r="M221" i="1"/>
  <c r="N221" i="1"/>
  <c r="L221" i="1"/>
  <c r="N219" i="1"/>
  <c r="N218" i="1"/>
  <c r="M217" i="1"/>
  <c r="N217" i="1"/>
  <c r="L217" i="1"/>
  <c r="N216" i="1"/>
  <c r="N215" i="1"/>
  <c r="L209" i="1"/>
  <c r="J209" i="1" s="1"/>
  <c r="N207" i="1"/>
  <c r="N205" i="1"/>
  <c r="N204" i="1"/>
  <c r="N201" i="1"/>
  <c r="M200" i="1"/>
  <c r="N200" i="1"/>
  <c r="L200" i="1"/>
  <c r="M191" i="1"/>
  <c r="N191" i="1"/>
  <c r="L191" i="1"/>
  <c r="M96" i="1"/>
  <c r="N96" i="1"/>
  <c r="L96" i="1"/>
  <c r="J96" i="1" s="1"/>
  <c r="O96" i="1" s="1"/>
  <c r="M92" i="1"/>
  <c r="N92" i="1"/>
  <c r="L92" i="1"/>
  <c r="J92" i="1"/>
  <c r="N90" i="1"/>
  <c r="N88" i="1"/>
  <c r="N80" i="1"/>
  <c r="N78" i="1"/>
  <c r="N56" i="1"/>
  <c r="N51" i="1"/>
  <c r="M12" i="1"/>
  <c r="N12" i="1"/>
  <c r="L12" i="1"/>
  <c r="N44" i="1"/>
  <c r="N42" i="1"/>
  <c r="N32" i="1"/>
  <c r="N31" i="1"/>
  <c r="N28" i="1"/>
  <c r="M25" i="1"/>
  <c r="M9" i="1"/>
  <c r="N25" i="1"/>
  <c r="L25" i="1"/>
  <c r="N24" i="1"/>
  <c r="N11" i="1"/>
  <c r="L108" i="1"/>
  <c r="K178" i="1"/>
  <c r="G249" i="1"/>
  <c r="G248" i="1"/>
  <c r="F248" i="1" s="1"/>
  <c r="G51" i="1"/>
  <c r="F51" i="1" s="1"/>
  <c r="F200" i="1"/>
  <c r="F201" i="1"/>
  <c r="F202" i="1"/>
  <c r="F203" i="1"/>
  <c r="H203" i="1"/>
  <c r="F204" i="1"/>
  <c r="G193" i="1"/>
  <c r="G187" i="1"/>
  <c r="G121" i="1"/>
  <c r="G284" i="1"/>
  <c r="F284" i="1"/>
  <c r="G172" i="1"/>
  <c r="G171" i="1"/>
  <c r="G90" i="1"/>
  <c r="G115" i="1"/>
  <c r="L208" i="1"/>
  <c r="G179" i="1"/>
  <c r="G191" i="1"/>
  <c r="F191" i="1"/>
  <c r="H191" i="1" s="1"/>
  <c r="G173" i="1"/>
  <c r="G166" i="1"/>
  <c r="G94" i="1"/>
  <c r="G302" i="1"/>
  <c r="G301" i="1"/>
  <c r="F301" i="1" s="1"/>
  <c r="G312" i="1"/>
  <c r="G309" i="1"/>
  <c r="F309" i="1" s="1"/>
  <c r="H309" i="1"/>
  <c r="P312" i="1"/>
  <c r="J312" i="1"/>
  <c r="O312" i="1" s="1"/>
  <c r="E288" i="1"/>
  <c r="G287" i="1"/>
  <c r="G275" i="1"/>
  <c r="G243" i="1"/>
  <c r="F243" i="1" s="1"/>
  <c r="G238" i="1"/>
  <c r="F238" i="1" s="1"/>
  <c r="H238" i="1" s="1"/>
  <c r="G240" i="1"/>
  <c r="G267" i="1"/>
  <c r="E28" i="1"/>
  <c r="G44" i="1"/>
  <c r="G42" i="1"/>
  <c r="G35" i="1"/>
  <c r="G33" i="1"/>
  <c r="E32" i="1"/>
  <c r="G32" i="1"/>
  <c r="G28" i="1"/>
  <c r="P9" i="1"/>
  <c r="G27" i="1"/>
  <c r="F27" i="1"/>
  <c r="P27" i="1"/>
  <c r="J27" i="1"/>
  <c r="O27" i="1" s="1"/>
  <c r="G19" i="1"/>
  <c r="F19" i="1" s="1"/>
  <c r="G20" i="1"/>
  <c r="G22" i="1"/>
  <c r="F22" i="1" s="1"/>
  <c r="G17" i="1"/>
  <c r="F17" i="1" s="1"/>
  <c r="G21" i="1"/>
  <c r="G111" i="1"/>
  <c r="F111" i="1" s="1"/>
  <c r="G273" i="1"/>
  <c r="F273" i="1"/>
  <c r="H273" i="1" s="1"/>
  <c r="G237" i="1"/>
  <c r="G213" i="1"/>
  <c r="G199" i="1"/>
  <c r="G87" i="1"/>
  <c r="F87" i="1"/>
  <c r="G11" i="1"/>
  <c r="F312" i="1"/>
  <c r="Q312" i="1" s="1"/>
  <c r="G50" i="1"/>
  <c r="G80" i="1"/>
  <c r="G78" i="1"/>
  <c r="G75" i="1"/>
  <c r="G70" i="1"/>
  <c r="F70" i="1"/>
  <c r="G69" i="1"/>
  <c r="G67" i="1"/>
  <c r="G152" i="1"/>
  <c r="G150" i="1"/>
  <c r="G155" i="1"/>
  <c r="G149" i="1"/>
  <c r="P61" i="1"/>
  <c r="P62" i="1"/>
  <c r="P63" i="1"/>
  <c r="P64" i="1"/>
  <c r="J61" i="1"/>
  <c r="O61" i="1"/>
  <c r="F61" i="1"/>
  <c r="Q61" i="1"/>
  <c r="P52" i="1"/>
  <c r="P53" i="1"/>
  <c r="J53" i="1"/>
  <c r="F53" i="1"/>
  <c r="H111" i="1"/>
  <c r="J207" i="1"/>
  <c r="G281" i="1"/>
  <c r="H201" i="1"/>
  <c r="K48" i="1"/>
  <c r="H17" i="1"/>
  <c r="J78" i="1"/>
  <c r="J219" i="1"/>
  <c r="O219" i="1"/>
  <c r="J90" i="1"/>
  <c r="J25" i="1"/>
  <c r="O25" i="1" s="1"/>
  <c r="J228" i="1"/>
  <c r="F167" i="1"/>
  <c r="Q167" i="1"/>
  <c r="J45" i="1"/>
  <c r="P45" i="1"/>
  <c r="F249" i="1"/>
  <c r="H249" i="1"/>
  <c r="J31" i="1"/>
  <c r="O31" i="1"/>
  <c r="J213" i="1"/>
  <c r="O213" i="1"/>
  <c r="F252" i="1"/>
  <c r="J299" i="1"/>
  <c r="O299" i="1" s="1"/>
  <c r="J293" i="1"/>
  <c r="O293" i="1" s="1"/>
  <c r="F42" i="1"/>
  <c r="H42" i="1" s="1"/>
  <c r="P235" i="1"/>
  <c r="F196" i="1"/>
  <c r="H196" i="1"/>
  <c r="R196" i="1" s="1"/>
  <c r="R194" i="1"/>
  <c r="Q194" i="1"/>
  <c r="F59" i="1"/>
  <c r="F58" i="1"/>
  <c r="F195" i="1"/>
  <c r="H195" i="1"/>
  <c r="R195" i="1" s="1"/>
  <c r="F177" i="1"/>
  <c r="H177" i="1" s="1"/>
  <c r="F300" i="1"/>
  <c r="Q300" i="1" s="1"/>
  <c r="F297" i="1"/>
  <c r="F299" i="1"/>
  <c r="Q299" i="1"/>
  <c r="F296" i="1"/>
  <c r="H296" i="1"/>
  <c r="F303" i="1"/>
  <c r="H303" i="1"/>
  <c r="K277" i="1"/>
  <c r="F292" i="1"/>
  <c r="F291" i="1"/>
  <c r="Q291" i="1"/>
  <c r="F290" i="1"/>
  <c r="Q290" i="1"/>
  <c r="P290" i="1"/>
  <c r="P291" i="1"/>
  <c r="P292" i="1"/>
  <c r="F166" i="1"/>
  <c r="H166" i="1" s="1"/>
  <c r="F33" i="1"/>
  <c r="H33" i="1" s="1"/>
  <c r="F11" i="1"/>
  <c r="H11" i="1" s="1"/>
  <c r="J232" i="1"/>
  <c r="O232" i="1" s="1"/>
  <c r="R232" i="1"/>
  <c r="P138" i="1"/>
  <c r="J138" i="1"/>
  <c r="K197" i="1"/>
  <c r="P209" i="1"/>
  <c r="J226" i="1"/>
  <c r="O226" i="1"/>
  <c r="R226" i="1" s="1"/>
  <c r="J227" i="1"/>
  <c r="P142" i="1"/>
  <c r="J142" i="1"/>
  <c r="K85" i="1"/>
  <c r="P107" i="1"/>
  <c r="J82" i="1"/>
  <c r="J75" i="1"/>
  <c r="O75" i="1"/>
  <c r="J313" i="1"/>
  <c r="O305" i="1"/>
  <c r="J307" i="1"/>
  <c r="O307" i="1"/>
  <c r="M271" i="1"/>
  <c r="N271" i="1"/>
  <c r="L271" i="1"/>
  <c r="J238" i="1"/>
  <c r="O238" i="1" s="1"/>
  <c r="J220" i="1"/>
  <c r="O220" i="1" s="1"/>
  <c r="J217" i="1"/>
  <c r="P217" i="1"/>
  <c r="P218" i="1"/>
  <c r="J172" i="1"/>
  <c r="J171" i="1"/>
  <c r="O171" i="1" s="1"/>
  <c r="J87" i="1"/>
  <c r="O87" i="1" s="1"/>
  <c r="J76" i="1"/>
  <c r="J69" i="1"/>
  <c r="J67" i="1"/>
  <c r="O67" i="1" s="1"/>
  <c r="J44" i="1"/>
  <c r="O44" i="1" s="1"/>
  <c r="J42" i="1"/>
  <c r="J310" i="1"/>
  <c r="O310" i="1"/>
  <c r="J311" i="1"/>
  <c r="O311" i="1"/>
  <c r="J314" i="1"/>
  <c r="O314" i="1"/>
  <c r="P313" i="1"/>
  <c r="P299" i="1"/>
  <c r="J294" i="1"/>
  <c r="J295" i="1"/>
  <c r="O295" i="1" s="1"/>
  <c r="J296" i="1"/>
  <c r="O296" i="1" s="1"/>
  <c r="J297" i="1"/>
  <c r="O297" i="1" s="1"/>
  <c r="J303" i="1"/>
  <c r="O303" i="1" s="1"/>
  <c r="P297" i="1"/>
  <c r="P303" i="1"/>
  <c r="P211" i="1"/>
  <c r="P85" i="1"/>
  <c r="J180" i="1"/>
  <c r="P180" i="1"/>
  <c r="O306" i="1"/>
  <c r="H180" i="1"/>
  <c r="H284" i="1"/>
  <c r="P310" i="1"/>
  <c r="P311" i="1"/>
  <c r="P314" i="1"/>
  <c r="F138" i="1"/>
  <c r="H138" i="1" s="1"/>
  <c r="P72" i="1"/>
  <c r="J71" i="1"/>
  <c r="J72" i="1"/>
  <c r="G159" i="1"/>
  <c r="F159" i="1"/>
  <c r="P162" i="1"/>
  <c r="J162" i="1"/>
  <c r="O162" i="1" s="1"/>
  <c r="F162" i="1"/>
  <c r="P186" i="1"/>
  <c r="J186" i="1"/>
  <c r="F186" i="1"/>
  <c r="H186" i="1"/>
  <c r="P167" i="1"/>
  <c r="P169" i="1"/>
  <c r="J169" i="1"/>
  <c r="F169" i="1"/>
  <c r="H169" i="1" s="1"/>
  <c r="F185" i="1"/>
  <c r="F72" i="1"/>
  <c r="H72" i="1"/>
  <c r="R72" i="1" s="1"/>
  <c r="P135" i="1"/>
  <c r="F54" i="1"/>
  <c r="H54" i="1"/>
  <c r="F55" i="1"/>
  <c r="H55" i="1"/>
  <c r="J97" i="1"/>
  <c r="O97" i="1"/>
  <c r="J98" i="1"/>
  <c r="O98" i="1"/>
  <c r="J99" i="1"/>
  <c r="O99" i="1"/>
  <c r="J100" i="1"/>
  <c r="O100" i="1"/>
  <c r="J101" i="1"/>
  <c r="O101" i="1"/>
  <c r="J103" i="1"/>
  <c r="O103" i="1"/>
  <c r="J104" i="1"/>
  <c r="O104" i="1"/>
  <c r="J102" i="1"/>
  <c r="O102" i="1"/>
  <c r="P164" i="1"/>
  <c r="J19" i="1"/>
  <c r="O19" i="1" s="1"/>
  <c r="K9" i="1"/>
  <c r="J280" i="1"/>
  <c r="O280" i="1" s="1"/>
  <c r="J239" i="1"/>
  <c r="O239" i="1" s="1"/>
  <c r="J240" i="1"/>
  <c r="O240" i="1" s="1"/>
  <c r="J47" i="1"/>
  <c r="J46" i="1"/>
  <c r="P46" i="1"/>
  <c r="F240" i="1"/>
  <c r="H240" i="1" s="1"/>
  <c r="F135" i="1"/>
  <c r="H135" i="1" s="1"/>
  <c r="R135" i="1"/>
  <c r="P309" i="1"/>
  <c r="F308" i="1"/>
  <c r="H308" i="1" s="1"/>
  <c r="F314" i="1"/>
  <c r="H314" i="1" s="1"/>
  <c r="J60" i="1"/>
  <c r="J64" i="1"/>
  <c r="O64" i="1" s="1"/>
  <c r="J62" i="1"/>
  <c r="O62" i="1" s="1"/>
  <c r="J54" i="1"/>
  <c r="O54" i="1" s="1"/>
  <c r="P54" i="1"/>
  <c r="P259" i="1"/>
  <c r="F259" i="1"/>
  <c r="F52" i="1"/>
  <c r="H52" i="1"/>
  <c r="F60" i="1"/>
  <c r="H60" i="1"/>
  <c r="F62" i="1"/>
  <c r="F63" i="1"/>
  <c r="F64" i="1"/>
  <c r="H64" i="1" s="1"/>
  <c r="P226" i="1"/>
  <c r="J95" i="1"/>
  <c r="O95" i="1"/>
  <c r="P206" i="1"/>
  <c r="J206" i="1"/>
  <c r="O206" i="1" s="1"/>
  <c r="R206" i="1" s="1"/>
  <c r="J57" i="1"/>
  <c r="O57" i="1" s="1"/>
  <c r="J65" i="1"/>
  <c r="O65" i="1" s="1"/>
  <c r="R65" i="1"/>
  <c r="J66" i="1"/>
  <c r="P222" i="1"/>
  <c r="P84" i="1"/>
  <c r="J84" i="1"/>
  <c r="P232" i="1"/>
  <c r="O231" i="1"/>
  <c r="R231" i="1" s="1"/>
  <c r="P231" i="1"/>
  <c r="P233" i="1"/>
  <c r="J233" i="1"/>
  <c r="O233" i="1" s="1"/>
  <c r="P82" i="1"/>
  <c r="J77" i="1"/>
  <c r="O77" i="1" s="1"/>
  <c r="P234" i="1"/>
  <c r="K211" i="1"/>
  <c r="J234" i="1"/>
  <c r="P113" i="1"/>
  <c r="F113" i="1"/>
  <c r="F40" i="1"/>
  <c r="F37" i="1"/>
  <c r="Q37" i="1"/>
  <c r="F35" i="1"/>
  <c r="F311" i="1"/>
  <c r="Q311" i="1" s="1"/>
  <c r="F41" i="1"/>
  <c r="Q41" i="1" s="1"/>
  <c r="F23" i="1"/>
  <c r="F20" i="1"/>
  <c r="H20" i="1"/>
  <c r="F21" i="1"/>
  <c r="O106" i="1"/>
  <c r="P99" i="1"/>
  <c r="P100" i="1"/>
  <c r="P101" i="1"/>
  <c r="P102" i="1"/>
  <c r="F99" i="1"/>
  <c r="H99" i="1"/>
  <c r="F100" i="1"/>
  <c r="H100" i="1"/>
  <c r="F101" i="1"/>
  <c r="H101" i="1"/>
  <c r="F102" i="1"/>
  <c r="H102" i="1"/>
  <c r="O93" i="1"/>
  <c r="O91" i="1"/>
  <c r="P98" i="1"/>
  <c r="F98" i="1"/>
  <c r="H98" i="1" s="1"/>
  <c r="N159" i="1"/>
  <c r="M159" i="1"/>
  <c r="P199" i="1"/>
  <c r="P200" i="1"/>
  <c r="P201" i="1"/>
  <c r="P202" i="1"/>
  <c r="P203" i="1"/>
  <c r="P205" i="1"/>
  <c r="P207" i="1"/>
  <c r="P208" i="1"/>
  <c r="P210" i="1"/>
  <c r="P213" i="1"/>
  <c r="P214" i="1"/>
  <c r="P215" i="1"/>
  <c r="P216" i="1"/>
  <c r="P219" i="1"/>
  <c r="P220" i="1"/>
  <c r="P221" i="1"/>
  <c r="P223" i="1"/>
  <c r="P224" i="1"/>
  <c r="P225" i="1"/>
  <c r="P227" i="1"/>
  <c r="P228" i="1"/>
  <c r="P229" i="1"/>
  <c r="P230" i="1"/>
  <c r="P237" i="1"/>
  <c r="P241" i="1"/>
  <c r="P242" i="1"/>
  <c r="P244" i="1"/>
  <c r="P247" i="1"/>
  <c r="P248" i="1"/>
  <c r="P249" i="1"/>
  <c r="P250" i="1"/>
  <c r="P251" i="1"/>
  <c r="P252" i="1"/>
  <c r="P253" i="1"/>
  <c r="P256" i="1"/>
  <c r="P257" i="1"/>
  <c r="P258" i="1"/>
  <c r="P260" i="1"/>
  <c r="P261" i="1"/>
  <c r="P262" i="1"/>
  <c r="P263" i="1"/>
  <c r="P264" i="1"/>
  <c r="P267" i="1"/>
  <c r="P268" i="1"/>
  <c r="P269" i="1"/>
  <c r="P270" i="1"/>
  <c r="P273" i="1"/>
  <c r="P276" i="1"/>
  <c r="P279" i="1"/>
  <c r="P280" i="1"/>
  <c r="P283" i="1"/>
  <c r="P285" i="1"/>
  <c r="P286" i="1"/>
  <c r="P287" i="1"/>
  <c r="P289" i="1"/>
  <c r="P295" i="1"/>
  <c r="P296" i="1"/>
  <c r="Q175" i="1"/>
  <c r="P193" i="1"/>
  <c r="P166" i="1"/>
  <c r="P168" i="1"/>
  <c r="P170" i="1"/>
  <c r="P171" i="1"/>
  <c r="P172" i="1"/>
  <c r="P176" i="1"/>
  <c r="P177" i="1"/>
  <c r="P178" i="1"/>
  <c r="P179" i="1"/>
  <c r="P183" i="1"/>
  <c r="P184" i="1"/>
  <c r="P187" i="1"/>
  <c r="P188" i="1"/>
  <c r="P189" i="1"/>
  <c r="P190" i="1"/>
  <c r="P191" i="1"/>
  <c r="P192" i="1"/>
  <c r="P111" i="1"/>
  <c r="P112" i="1"/>
  <c r="P114" i="1"/>
  <c r="P115" i="1"/>
  <c r="P116" i="1"/>
  <c r="P117" i="1"/>
  <c r="P118" i="1"/>
  <c r="P119" i="1"/>
  <c r="P120" i="1"/>
  <c r="P121" i="1"/>
  <c r="P122" i="1"/>
  <c r="P124" i="1"/>
  <c r="P125" i="1"/>
  <c r="P126" i="1"/>
  <c r="P127" i="1"/>
  <c r="P128" i="1"/>
  <c r="P129" i="1"/>
  <c r="P130" i="1"/>
  <c r="P131" i="1"/>
  <c r="P132" i="1"/>
  <c r="P133" i="1"/>
  <c r="P134" i="1"/>
  <c r="P136" i="1"/>
  <c r="P137" i="1"/>
  <c r="P139" i="1"/>
  <c r="P140" i="1"/>
  <c r="P141" i="1"/>
  <c r="P147" i="1"/>
  <c r="P148" i="1"/>
  <c r="P149" i="1"/>
  <c r="P152" i="1"/>
  <c r="P155" i="1"/>
  <c r="P156" i="1"/>
  <c r="P157" i="1"/>
  <c r="P158" i="1"/>
  <c r="P161" i="1"/>
  <c r="P163" i="1"/>
  <c r="P87" i="1"/>
  <c r="P89" i="1"/>
  <c r="P90" i="1"/>
  <c r="P91" i="1"/>
  <c r="P93" i="1"/>
  <c r="P94" i="1"/>
  <c r="P95" i="1"/>
  <c r="P96" i="1"/>
  <c r="P97" i="1"/>
  <c r="P103" i="1"/>
  <c r="P104" i="1"/>
  <c r="P106" i="1"/>
  <c r="P108" i="1"/>
  <c r="P83" i="1"/>
  <c r="P79" i="1"/>
  <c r="P70" i="1"/>
  <c r="P51" i="1"/>
  <c r="P56" i="1"/>
  <c r="P57" i="1"/>
  <c r="P65" i="1"/>
  <c r="P66" i="1"/>
  <c r="P67" i="1"/>
  <c r="P68" i="1"/>
  <c r="P69" i="1"/>
  <c r="P71" i="1"/>
  <c r="P73" i="1"/>
  <c r="P74" i="1"/>
  <c r="P75" i="1"/>
  <c r="P78" i="1"/>
  <c r="P80" i="1"/>
  <c r="P81" i="1"/>
  <c r="P77" i="1"/>
  <c r="P50" i="1"/>
  <c r="P31" i="1"/>
  <c r="P14" i="1"/>
  <c r="P15" i="1"/>
  <c r="P16" i="1"/>
  <c r="P17" i="1"/>
  <c r="P18" i="1"/>
  <c r="P19" i="1"/>
  <c r="P24" i="1"/>
  <c r="P20" i="1"/>
  <c r="P23" i="1"/>
  <c r="P25" i="1"/>
  <c r="P26" i="1"/>
  <c r="P30" i="1"/>
  <c r="P35" i="1"/>
  <c r="P38" i="1"/>
  <c r="P44" i="1"/>
  <c r="P11" i="1"/>
  <c r="J279" i="1"/>
  <c r="O279" i="1"/>
  <c r="O276" i="1"/>
  <c r="O267" i="1"/>
  <c r="O270" i="1"/>
  <c r="J200" i="1"/>
  <c r="J183" i="1"/>
  <c r="O170" i="1"/>
  <c r="O175" i="1"/>
  <c r="O176" i="1"/>
  <c r="J117" i="1"/>
  <c r="O117" i="1" s="1"/>
  <c r="J50" i="1"/>
  <c r="J23" i="1"/>
  <c r="J26" i="1"/>
  <c r="O26" i="1" s="1"/>
  <c r="J28" i="1"/>
  <c r="O28" i="1" s="1"/>
  <c r="J29" i="1"/>
  <c r="O29" i="1" s="1"/>
  <c r="J30" i="1"/>
  <c r="J33" i="1"/>
  <c r="O33" i="1"/>
  <c r="J34" i="1"/>
  <c r="O34" i="1"/>
  <c r="J35" i="1"/>
  <c r="O35" i="1"/>
  <c r="J38" i="1"/>
  <c r="O38" i="1"/>
  <c r="J43" i="1"/>
  <c r="O43" i="1"/>
  <c r="J13" i="1"/>
  <c r="O13" i="1"/>
  <c r="J14" i="1"/>
  <c r="O14" i="1"/>
  <c r="J15" i="1"/>
  <c r="J16" i="1"/>
  <c r="O16" i="1" s="1"/>
  <c r="J17" i="1"/>
  <c r="O17" i="1" s="1"/>
  <c r="J18" i="1"/>
  <c r="O18" i="1" s="1"/>
  <c r="J24" i="1"/>
  <c r="J20" i="1"/>
  <c r="O20" i="1"/>
  <c r="R20" i="1" s="1"/>
  <c r="J32" i="1"/>
  <c r="O32" i="1"/>
  <c r="J11" i="1"/>
  <c r="O11" i="1"/>
  <c r="F274" i="1"/>
  <c r="H274" i="1"/>
  <c r="R274" i="1" s="1"/>
  <c r="F275" i="1"/>
  <c r="F257" i="1"/>
  <c r="F258" i="1"/>
  <c r="H258" i="1"/>
  <c r="R258" i="1" s="1"/>
  <c r="F260" i="1"/>
  <c r="H260" i="1"/>
  <c r="F261" i="1"/>
  <c r="F262" i="1"/>
  <c r="F263" i="1"/>
  <c r="H263" i="1"/>
  <c r="F264" i="1"/>
  <c r="Q264" i="1"/>
  <c r="F268" i="1"/>
  <c r="F269" i="1"/>
  <c r="Q269" i="1" s="1"/>
  <c r="F270" i="1"/>
  <c r="F256" i="1"/>
  <c r="F250" i="1"/>
  <c r="H250" i="1" s="1"/>
  <c r="F251" i="1"/>
  <c r="H251" i="1" s="1"/>
  <c r="F253" i="1"/>
  <c r="H253" i="1" s="1"/>
  <c r="F247" i="1"/>
  <c r="H247" i="1"/>
  <c r="F241" i="1"/>
  <c r="H241" i="1"/>
  <c r="F214" i="1"/>
  <c r="F215" i="1"/>
  <c r="H215" i="1" s="1"/>
  <c r="F216" i="1"/>
  <c r="H216" i="1" s="1"/>
  <c r="R216" i="1" s="1"/>
  <c r="F218" i="1"/>
  <c r="F219" i="1"/>
  <c r="H219" i="1" s="1"/>
  <c r="F220" i="1"/>
  <c r="H220" i="1" s="1"/>
  <c r="F221" i="1"/>
  <c r="H221" i="1" s="1"/>
  <c r="R221" i="1" s="1"/>
  <c r="F223" i="1"/>
  <c r="F224" i="1"/>
  <c r="F225" i="1"/>
  <c r="H225" i="1"/>
  <c r="F227" i="1"/>
  <c r="H227" i="1"/>
  <c r="F228" i="1"/>
  <c r="H228" i="1" s="1"/>
  <c r="F229" i="1"/>
  <c r="F230" i="1"/>
  <c r="H230" i="1" s="1"/>
  <c r="R230" i="1" s="1"/>
  <c r="F233" i="1"/>
  <c r="F213" i="1"/>
  <c r="H213" i="1" s="1"/>
  <c r="R213" i="1"/>
  <c r="G211" i="1"/>
  <c r="H202" i="1"/>
  <c r="F205" i="1"/>
  <c r="H205" i="1"/>
  <c r="R205" i="1" s="1"/>
  <c r="F207" i="1"/>
  <c r="F199" i="1"/>
  <c r="F161" i="1"/>
  <c r="H151" i="1"/>
  <c r="F112" i="1"/>
  <c r="H112" i="1"/>
  <c r="F114" i="1"/>
  <c r="H114" i="1"/>
  <c r="R114" i="1" s="1"/>
  <c r="F115" i="1"/>
  <c r="H115" i="1"/>
  <c r="F116" i="1"/>
  <c r="H116" i="1"/>
  <c r="F117" i="1"/>
  <c r="H117" i="1"/>
  <c r="F118" i="1"/>
  <c r="H118" i="1"/>
  <c r="F119" i="1"/>
  <c r="F120" i="1"/>
  <c r="F121" i="1"/>
  <c r="H121" i="1"/>
  <c r="F122" i="1"/>
  <c r="H122" i="1"/>
  <c r="F123" i="1"/>
  <c r="H123" i="1"/>
  <c r="F124" i="1"/>
  <c r="H124" i="1"/>
  <c r="R124" i="1" s="1"/>
  <c r="F125" i="1"/>
  <c r="H125" i="1"/>
  <c r="R125" i="1" s="1"/>
  <c r="F126" i="1"/>
  <c r="H126" i="1"/>
  <c r="F127" i="1"/>
  <c r="F128" i="1"/>
  <c r="H128" i="1" s="1"/>
  <c r="R128" i="1" s="1"/>
  <c r="F129" i="1"/>
  <c r="H129" i="1" s="1"/>
  <c r="F130" i="1"/>
  <c r="H130" i="1" s="1"/>
  <c r="R130" i="1" s="1"/>
  <c r="F131" i="1"/>
  <c r="F132" i="1"/>
  <c r="H132" i="1"/>
  <c r="F133" i="1"/>
  <c r="F134" i="1"/>
  <c r="F136" i="1"/>
  <c r="H136" i="1"/>
  <c r="F137" i="1"/>
  <c r="H137" i="1"/>
  <c r="F139" i="1"/>
  <c r="H139" i="1"/>
  <c r="F140" i="1"/>
  <c r="H140" i="1"/>
  <c r="F141" i="1"/>
  <c r="H141" i="1"/>
  <c r="F146" i="1"/>
  <c r="H146" i="1"/>
  <c r="F147" i="1"/>
  <c r="H147" i="1"/>
  <c r="F148" i="1"/>
  <c r="H148" i="1"/>
  <c r="F152" i="1"/>
  <c r="F153" i="1"/>
  <c r="F154" i="1"/>
  <c r="H154" i="1"/>
  <c r="F155" i="1"/>
  <c r="H155" i="1"/>
  <c r="F156" i="1"/>
  <c r="H156" i="1"/>
  <c r="R156" i="1" s="1"/>
  <c r="H88" i="1"/>
  <c r="F89" i="1"/>
  <c r="H89" i="1"/>
  <c r="R89" i="1" s="1"/>
  <c r="F90" i="1"/>
  <c r="F91" i="1"/>
  <c r="F93" i="1"/>
  <c r="F95" i="1"/>
  <c r="H95" i="1" s="1"/>
  <c r="R95" i="1" s="1"/>
  <c r="F96" i="1"/>
  <c r="F97" i="1"/>
  <c r="F103" i="1"/>
  <c r="Q103" i="1"/>
  <c r="F104" i="1"/>
  <c r="H104" i="1"/>
  <c r="R104" i="1" s="1"/>
  <c r="F105" i="1"/>
  <c r="H105" i="1" s="1"/>
  <c r="F106" i="1"/>
  <c r="Q106" i="1" s="1"/>
  <c r="F56" i="1"/>
  <c r="F57" i="1"/>
  <c r="H57" i="1"/>
  <c r="F65" i="1"/>
  <c r="H65" i="1"/>
  <c r="F66" i="1"/>
  <c r="F67" i="1"/>
  <c r="H67" i="1" s="1"/>
  <c r="F68" i="1"/>
  <c r="H68" i="1" s="1"/>
  <c r="R68" i="1" s="1"/>
  <c r="F69" i="1"/>
  <c r="H69" i="1" s="1"/>
  <c r="F71" i="1"/>
  <c r="H71" i="1" s="1"/>
  <c r="R71" i="1" s="1"/>
  <c r="F73" i="1"/>
  <c r="H73" i="1"/>
  <c r="F74" i="1"/>
  <c r="H74" i="1"/>
  <c r="F75" i="1"/>
  <c r="H75" i="1"/>
  <c r="F76" i="1"/>
  <c r="F78" i="1"/>
  <c r="F79" i="1"/>
  <c r="H79" i="1" s="1"/>
  <c r="F80" i="1"/>
  <c r="F81" i="1"/>
  <c r="H81" i="1"/>
  <c r="F77" i="1"/>
  <c r="F50" i="1"/>
  <c r="H50" i="1" s="1"/>
  <c r="F38" i="1"/>
  <c r="H38" i="1" s="1"/>
  <c r="R38" i="1" s="1"/>
  <c r="F44" i="1"/>
  <c r="H44" i="1" s="1"/>
  <c r="F31" i="1"/>
  <c r="F295" i="1"/>
  <c r="F280" i="1"/>
  <c r="Q280" i="1" s="1"/>
  <c r="F283" i="1"/>
  <c r="F285" i="1"/>
  <c r="H285" i="1" s="1"/>
  <c r="F286" i="1"/>
  <c r="H286" i="1" s="1"/>
  <c r="F287" i="1"/>
  <c r="H287" i="1" s="1"/>
  <c r="R287" i="1" s="1"/>
  <c r="F288" i="1"/>
  <c r="F289" i="1"/>
  <c r="H289" i="1"/>
  <c r="F304" i="1"/>
  <c r="H304" i="1"/>
  <c r="F305" i="1"/>
  <c r="F306" i="1"/>
  <c r="H306" i="1" s="1"/>
  <c r="F307" i="1"/>
  <c r="F279" i="1"/>
  <c r="H279" i="1"/>
  <c r="F184" i="1"/>
  <c r="H184" i="1"/>
  <c r="R184" i="1" s="1"/>
  <c r="F187" i="1"/>
  <c r="H187" i="1"/>
  <c r="F188" i="1"/>
  <c r="F189" i="1"/>
  <c r="F190" i="1"/>
  <c r="F192" i="1"/>
  <c r="H192" i="1" s="1"/>
  <c r="F183" i="1"/>
  <c r="H175" i="1"/>
  <c r="F170" i="1"/>
  <c r="H170" i="1"/>
  <c r="R170" i="1" s="1"/>
  <c r="F171" i="1"/>
  <c r="F172" i="1"/>
  <c r="H172" i="1" s="1"/>
  <c r="F176" i="1"/>
  <c r="F179" i="1"/>
  <c r="H179" i="1"/>
  <c r="F168" i="1"/>
  <c r="H168" i="1"/>
  <c r="J145" i="1"/>
  <c r="J146" i="1"/>
  <c r="O146" i="1" s="1"/>
  <c r="J147" i="1"/>
  <c r="J148" i="1"/>
  <c r="O148" i="1" s="1"/>
  <c r="J149" i="1"/>
  <c r="O149" i="1" s="1"/>
  <c r="J150" i="1"/>
  <c r="O150" i="1" s="1"/>
  <c r="J151" i="1"/>
  <c r="O151" i="1" s="1"/>
  <c r="J152" i="1"/>
  <c r="O152" i="1" s="1"/>
  <c r="J153" i="1"/>
  <c r="O153" i="1" s="1"/>
  <c r="J131" i="1"/>
  <c r="O131" i="1" s="1"/>
  <c r="J132" i="1"/>
  <c r="O132" i="1" s="1"/>
  <c r="J133" i="1"/>
  <c r="O133" i="1"/>
  <c r="J134" i="1"/>
  <c r="O134" i="1"/>
  <c r="J136" i="1"/>
  <c r="O136" i="1"/>
  <c r="J89" i="1"/>
  <c r="O89" i="1"/>
  <c r="J68" i="1"/>
  <c r="O68" i="1"/>
  <c r="J199" i="1"/>
  <c r="J274" i="1"/>
  <c r="O274" i="1" s="1"/>
  <c r="F32" i="1"/>
  <c r="H32" i="1" s="1"/>
  <c r="F13" i="1"/>
  <c r="F14" i="1"/>
  <c r="H14" i="1"/>
  <c r="R14" i="1" s="1"/>
  <c r="F15" i="1"/>
  <c r="H15" i="1"/>
  <c r="F16" i="1"/>
  <c r="H16" i="1"/>
  <c r="R16" i="1" s="1"/>
  <c r="F18" i="1"/>
  <c r="H18" i="1"/>
  <c r="H19" i="1"/>
  <c r="R19" i="1" s="1"/>
  <c r="F24" i="1"/>
  <c r="F25" i="1"/>
  <c r="H25" i="1" s="1"/>
  <c r="F26" i="1"/>
  <c r="H26" i="1" s="1"/>
  <c r="R26" i="1" s="1"/>
  <c r="F30" i="1"/>
  <c r="P159" i="1"/>
  <c r="P181" i="1"/>
  <c r="P245" i="1"/>
  <c r="P308" i="1"/>
  <c r="P145" i="1"/>
  <c r="P304" i="1"/>
  <c r="P305" i="1"/>
  <c r="P265" i="1"/>
  <c r="P123" i="1"/>
  <c r="P284" i="1"/>
  <c r="P174" i="1"/>
  <c r="P275" i="1"/>
  <c r="P243" i="1"/>
  <c r="P173" i="1"/>
  <c r="P88" i="1"/>
  <c r="P153" i="1"/>
  <c r="P306" i="1"/>
  <c r="P105" i="1"/>
  <c r="P274" i="1"/>
  <c r="P92" i="1"/>
  <c r="P154" i="1"/>
  <c r="P293" i="1"/>
  <c r="P307" i="1"/>
  <c r="P271" i="1"/>
  <c r="P281" i="1"/>
  <c r="P150" i="1"/>
  <c r="J177" i="1"/>
  <c r="J174" i="1"/>
  <c r="O174" i="1"/>
  <c r="J116" i="1"/>
  <c r="N181" i="1"/>
  <c r="M181" i="1"/>
  <c r="J191" i="1"/>
  <c r="O191" i="1" s="1"/>
  <c r="K181" i="1"/>
  <c r="L181" i="1"/>
  <c r="J224" i="1"/>
  <c r="O224" i="1" s="1"/>
  <c r="J304" i="1"/>
  <c r="K245" i="1"/>
  <c r="J251" i="1"/>
  <c r="O251" i="1" s="1"/>
  <c r="R251" i="1"/>
  <c r="J250" i="1"/>
  <c r="J252" i="1"/>
  <c r="O252" i="1" s="1"/>
  <c r="J241" i="1"/>
  <c r="J244" i="1"/>
  <c r="J221" i="1"/>
  <c r="O221" i="1" s="1"/>
  <c r="J229" i="1"/>
  <c r="O229" i="1" s="1"/>
  <c r="J216" i="1"/>
  <c r="O216" i="1" s="1"/>
  <c r="J214" i="1"/>
  <c r="O214" i="1"/>
  <c r="J94" i="1"/>
  <c r="O94" i="1"/>
  <c r="O51" i="1"/>
  <c r="N245" i="1"/>
  <c r="J193" i="1"/>
  <c r="O193" i="1"/>
  <c r="J192" i="1"/>
  <c r="J190" i="1"/>
  <c r="O190" i="1" s="1"/>
  <c r="J189" i="1"/>
  <c r="J188" i="1"/>
  <c r="J187" i="1"/>
  <c r="J184" i="1"/>
  <c r="O184" i="1" s="1"/>
  <c r="J168" i="1"/>
  <c r="O168" i="1"/>
  <c r="J112" i="1"/>
  <c r="Q112" i="1" s="1"/>
  <c r="P12" i="1"/>
  <c r="J281" i="1"/>
  <c r="O281" i="1" s="1"/>
  <c r="P42" i="1"/>
  <c r="P33" i="1"/>
  <c r="P28" i="1"/>
  <c r="J283" i="1"/>
  <c r="O283" i="1" s="1"/>
  <c r="J287" i="1"/>
  <c r="O287" i="1" s="1"/>
  <c r="J289" i="1"/>
  <c r="O289" i="1" s="1"/>
  <c r="R289" i="1" s="1"/>
  <c r="J288" i="1"/>
  <c r="O288" i="1"/>
  <c r="J166" i="1"/>
  <c r="O166" i="1"/>
  <c r="J70" i="1"/>
  <c r="O70" i="1"/>
  <c r="J282" i="1"/>
  <c r="O282" i="1"/>
  <c r="J284" i="1"/>
  <c r="O284" i="1"/>
  <c r="J285" i="1"/>
  <c r="O285" i="1" s="1"/>
  <c r="J286" i="1"/>
  <c r="O286" i="1" s="1"/>
  <c r="R286" i="1"/>
  <c r="J108" i="1"/>
  <c r="J157" i="1"/>
  <c r="O157" i="1" s="1"/>
  <c r="R157" i="1" s="1"/>
  <c r="J115" i="1"/>
  <c r="O115" i="1"/>
  <c r="J257" i="1"/>
  <c r="J256" i="1"/>
  <c r="J253" i="1"/>
  <c r="J158" i="1"/>
  <c r="L159" i="1"/>
  <c r="K159" i="1"/>
  <c r="J275" i="1"/>
  <c r="O275" i="1" s="1"/>
  <c r="J114" i="1"/>
  <c r="O114" i="1"/>
  <c r="J118" i="1"/>
  <c r="O118" i="1"/>
  <c r="J119" i="1"/>
  <c r="O119" i="1" s="1"/>
  <c r="J120" i="1"/>
  <c r="O120" i="1" s="1"/>
  <c r="J121" i="1"/>
  <c r="O121" i="1" s="1"/>
  <c r="R121" i="1"/>
  <c r="J122" i="1"/>
  <c r="O122" i="1"/>
  <c r="J123" i="1"/>
  <c r="O123" i="1" s="1"/>
  <c r="J124" i="1"/>
  <c r="O124" i="1" s="1"/>
  <c r="J125" i="1"/>
  <c r="J126" i="1"/>
  <c r="Q126" i="1" s="1"/>
  <c r="J127" i="1"/>
  <c r="O127" i="1" s="1"/>
  <c r="J128" i="1"/>
  <c r="J129" i="1"/>
  <c r="J130" i="1"/>
  <c r="O130" i="1" s="1"/>
  <c r="J137" i="1"/>
  <c r="O137" i="1" s="1"/>
  <c r="J139" i="1"/>
  <c r="O139" i="1" s="1"/>
  <c r="R139" i="1"/>
  <c r="J140" i="1"/>
  <c r="O140" i="1"/>
  <c r="J141" i="1"/>
  <c r="O141" i="1" s="1"/>
  <c r="R141" i="1"/>
  <c r="J144" i="1"/>
  <c r="O144" i="1"/>
  <c r="J154" i="1"/>
  <c r="J155" i="1"/>
  <c r="O155" i="1" s="1"/>
  <c r="R155" i="1" s="1"/>
  <c r="J161" i="1"/>
  <c r="O161" i="1"/>
  <c r="J163" i="1"/>
  <c r="Q163" i="1"/>
  <c r="J173" i="1"/>
  <c r="O173" i="1"/>
  <c r="J179" i="1"/>
  <c r="O179" i="1"/>
  <c r="J272" i="1"/>
  <c r="J237" i="1"/>
  <c r="J255" i="1"/>
  <c r="J258" i="1"/>
  <c r="O258" i="1"/>
  <c r="J260" i="1"/>
  <c r="O260" i="1" s="1"/>
  <c r="R260" i="1" s="1"/>
  <c r="J268" i="1"/>
  <c r="O268" i="1" s="1"/>
  <c r="J261" i="1"/>
  <c r="O261" i="1" s="1"/>
  <c r="J269" i="1"/>
  <c r="O269" i="1" s="1"/>
  <c r="J263" i="1"/>
  <c r="O263" i="1"/>
  <c r="J265" i="1"/>
  <c r="O265" i="1"/>
  <c r="J278" i="1"/>
  <c r="J105" i="1"/>
  <c r="O105" i="1"/>
  <c r="J73" i="1"/>
  <c r="J74" i="1"/>
  <c r="O74" i="1"/>
  <c r="J79" i="1"/>
  <c r="J210" i="1"/>
  <c r="J203" i="1"/>
  <c r="J204" i="1"/>
  <c r="O204" i="1"/>
  <c r="J208" i="1"/>
  <c r="O208" i="1"/>
  <c r="R208" i="1" s="1"/>
  <c r="J248" i="1"/>
  <c r="O248" i="1" s="1"/>
  <c r="O245" i="1" s="1"/>
  <c r="J247" i="1"/>
  <c r="O247" i="1" s="1"/>
  <c r="R247" i="1"/>
  <c r="J111" i="1"/>
  <c r="J109" i="1"/>
  <c r="J243" i="1"/>
  <c r="O243" i="1"/>
  <c r="K235" i="1"/>
  <c r="K271" i="1"/>
  <c r="J81" i="1"/>
  <c r="O81" i="1"/>
  <c r="R81" i="1" s="1"/>
  <c r="J202" i="1"/>
  <c r="O202" i="1"/>
  <c r="F28" i="1"/>
  <c r="H275" i="1"/>
  <c r="Q170" i="1"/>
  <c r="H24" i="1"/>
  <c r="Q98" i="1"/>
  <c r="J222" i="1"/>
  <c r="Q222" i="1"/>
  <c r="O207" i="1"/>
  <c r="J12" i="1"/>
  <c r="O12" i="1" s="1"/>
  <c r="Q71" i="1"/>
  <c r="Q136" i="1"/>
  <c r="Q135" i="1"/>
  <c r="R64" i="1"/>
  <c r="R100" i="1"/>
  <c r="O256" i="1"/>
  <c r="O244" i="1"/>
  <c r="R244" i="1" s="1"/>
  <c r="Q206" i="1"/>
  <c r="H167" i="1"/>
  <c r="R167" i="1"/>
  <c r="Q115" i="1"/>
  <c r="H264" i="1"/>
  <c r="R264" i="1" s="1"/>
  <c r="Q33" i="1"/>
  <c r="Q66" i="1"/>
  <c r="Q232" i="1"/>
  <c r="Q247" i="1"/>
  <c r="Q214" i="1"/>
  <c r="H106" i="1"/>
  <c r="R106" i="1" s="1"/>
  <c r="Q52" i="1"/>
  <c r="Q20" i="1"/>
  <c r="H200" i="1"/>
  <c r="Q18" i="1"/>
  <c r="Q99" i="1"/>
  <c r="J83" i="1"/>
  <c r="O83" i="1" s="1"/>
  <c r="R83" i="1"/>
  <c r="H290" i="1"/>
  <c r="R290" i="1"/>
  <c r="H66" i="1"/>
  <c r="R66" i="1"/>
  <c r="Q240" i="1"/>
  <c r="Q100" i="1"/>
  <c r="H37" i="1"/>
  <c r="R37" i="1"/>
  <c r="O78" i="1"/>
  <c r="R296" i="1"/>
  <c r="O222" i="1"/>
  <c r="R222" i="1"/>
  <c r="Q231" i="1"/>
  <c r="Q284" i="1"/>
  <c r="H103" i="1"/>
  <c r="R103" i="1" s="1"/>
  <c r="R220" i="1"/>
  <c r="Q101" i="1"/>
  <c r="Q306" i="1"/>
  <c r="Q118" i="1"/>
  <c r="Q314" i="1"/>
  <c r="Q296" i="1"/>
  <c r="Q44" i="1"/>
  <c r="Q258" i="1"/>
  <c r="Q238" i="1"/>
  <c r="Q202" i="1"/>
  <c r="Q303" i="1"/>
  <c r="J273" i="1"/>
  <c r="Q104" i="1"/>
  <c r="H58" i="1"/>
  <c r="Q191" i="1"/>
  <c r="Q250" i="1"/>
  <c r="O250" i="1"/>
  <c r="R250" i="1" s="1"/>
  <c r="O145" i="1"/>
  <c r="H270" i="1"/>
  <c r="R270" i="1"/>
  <c r="Q270" i="1"/>
  <c r="O50" i="1"/>
  <c r="R50" i="1" s="1"/>
  <c r="Q50" i="1"/>
  <c r="Q21" i="1"/>
  <c r="H21" i="1"/>
  <c r="R21" i="1" s="1"/>
  <c r="H35" i="1"/>
  <c r="R35" i="1" s="1"/>
  <c r="Q35" i="1"/>
  <c r="Q82" i="1"/>
  <c r="O82" i="1"/>
  <c r="R82" i="1" s="1"/>
  <c r="Q279" i="1"/>
  <c r="Q54" i="1"/>
  <c r="Q89" i="1"/>
  <c r="H41" i="1"/>
  <c r="R41" i="1"/>
  <c r="Q205" i="1"/>
  <c r="O128" i="1"/>
  <c r="Q128" i="1"/>
  <c r="O126" i="1"/>
  <c r="O257" i="1"/>
  <c r="Q176" i="1"/>
  <c r="H176" i="1"/>
  <c r="R176" i="1"/>
  <c r="H171" i="1"/>
  <c r="R171" i="1"/>
  <c r="Q171" i="1"/>
  <c r="R175" i="1"/>
  <c r="H188" i="1"/>
  <c r="H305" i="1"/>
  <c r="Q305" i="1"/>
  <c r="H31" i="1"/>
  <c r="R31" i="1" s="1"/>
  <c r="Q31" i="1"/>
  <c r="H77" i="1"/>
  <c r="R77" i="1"/>
  <c r="Q77" i="1"/>
  <c r="H80" i="1"/>
  <c r="R57" i="1"/>
  <c r="Q57" i="1"/>
  <c r="H51" i="1"/>
  <c r="Q51" i="1"/>
  <c r="Q95" i="1"/>
  <c r="H131" i="1"/>
  <c r="R131" i="1"/>
  <c r="Q131" i="1"/>
  <c r="Q117" i="1"/>
  <c r="H207" i="1"/>
  <c r="R207" i="1"/>
  <c r="Q207" i="1"/>
  <c r="H224" i="1"/>
  <c r="R224" i="1" s="1"/>
  <c r="Q224" i="1"/>
  <c r="H243" i="1"/>
  <c r="R243" i="1" s="1"/>
  <c r="Q243" i="1"/>
  <c r="O92" i="1"/>
  <c r="Q92" i="1"/>
  <c r="O138" i="1"/>
  <c r="R138" i="1"/>
  <c r="Q138" i="1"/>
  <c r="K164" i="1"/>
  <c r="J178" i="1"/>
  <c r="O178" i="1"/>
  <c r="R178" i="1" s="1"/>
  <c r="O47" i="1"/>
  <c r="P47" i="1"/>
  <c r="Q72" i="1"/>
  <c r="Q107" i="1"/>
  <c r="O107" i="1"/>
  <c r="R107" i="1"/>
  <c r="Q11" i="1"/>
  <c r="L164" i="1"/>
  <c r="M164" i="1"/>
  <c r="N211" i="1"/>
  <c r="N235" i="1"/>
  <c r="F281" i="1"/>
  <c r="H281" i="1" s="1"/>
  <c r="R98" i="1"/>
  <c r="Q244" i="1"/>
  <c r="Q213" i="1"/>
  <c r="Q25" i="1"/>
  <c r="Q219" i="1"/>
  <c r="Q14" i="1"/>
  <c r="Q251" i="1"/>
  <c r="Q124" i="1"/>
  <c r="Q288" i="1"/>
  <c r="O111" i="1"/>
  <c r="Q275" i="1"/>
  <c r="M48" i="1"/>
  <c r="H28" i="1"/>
  <c r="R28" i="1" s="1"/>
  <c r="Q19" i="1"/>
  <c r="O45" i="1"/>
  <c r="Q16" i="1"/>
  <c r="R240" i="1"/>
  <c r="Q220" i="1"/>
  <c r="M197" i="1"/>
  <c r="Q166" i="1"/>
  <c r="L9" i="1"/>
  <c r="M245" i="1"/>
  <c r="Q81" i="1"/>
  <c r="R263" i="1"/>
  <c r="O163" i="1"/>
  <c r="R163" i="1"/>
  <c r="Q286" i="1"/>
  <c r="R219" i="1"/>
  <c r="Q195" i="1"/>
  <c r="Q230" i="1"/>
  <c r="Q74" i="1"/>
  <c r="Q139" i="1"/>
  <c r="Q156" i="1"/>
  <c r="Q148" i="1"/>
  <c r="H252" i="1"/>
  <c r="R252" i="1"/>
  <c r="O189" i="1"/>
  <c r="Q114" i="1"/>
  <c r="Q28" i="1"/>
  <c r="Q137" i="1"/>
  <c r="O172" i="1"/>
  <c r="Q172" i="1"/>
  <c r="H30" i="1"/>
  <c r="H120" i="1"/>
  <c r="R120" i="1" s="1"/>
  <c r="H269" i="1"/>
  <c r="R269" i="1" s="1"/>
  <c r="O125" i="1"/>
  <c r="Q125" i="1"/>
  <c r="H161" i="1"/>
  <c r="R161" i="1"/>
  <c r="Q161" i="1"/>
  <c r="Q102" i="1"/>
  <c r="Q121" i="1"/>
  <c r="Q168" i="1"/>
  <c r="Q140" i="1"/>
  <c r="Q210" i="1"/>
  <c r="O210" i="1"/>
  <c r="R210" i="1" s="1"/>
  <c r="O69" i="1"/>
  <c r="R69" i="1" s="1"/>
  <c r="Q69" i="1"/>
  <c r="Q295" i="1"/>
  <c r="H295" i="1"/>
  <c r="R295" i="1"/>
  <c r="H23" i="1"/>
  <c r="H40" i="1"/>
  <c r="R40" i="1" s="1"/>
  <c r="Q40" i="1"/>
  <c r="O46" i="1"/>
  <c r="R46" i="1"/>
  <c r="Q46" i="1"/>
  <c r="R238" i="1"/>
  <c r="Q313" i="1"/>
  <c r="O313" i="1"/>
  <c r="R313" i="1" s="1"/>
  <c r="L85" i="1"/>
  <c r="J88" i="1"/>
  <c r="Q88" i="1"/>
  <c r="F173" i="1"/>
  <c r="F164" i="1"/>
  <c r="F174" i="1"/>
  <c r="G85" i="1"/>
  <c r="F94" i="1"/>
  <c r="H283" i="1"/>
  <c r="R283" i="1" s="1"/>
  <c r="Q283" i="1"/>
  <c r="Q96" i="1"/>
  <c r="H96" i="1"/>
  <c r="R96" i="1" s="1"/>
  <c r="H134" i="1"/>
  <c r="R134" i="1" s="1"/>
  <c r="Q134" i="1"/>
  <c r="Q76" i="1"/>
  <c r="O76" i="1"/>
  <c r="G271" i="1"/>
  <c r="F276" i="1"/>
  <c r="Q276" i="1" s="1"/>
  <c r="H299" i="1"/>
  <c r="R299" i="1" s="1"/>
  <c r="L245" i="1"/>
  <c r="J249" i="1"/>
  <c r="Q32" i="1"/>
  <c r="J164" i="1"/>
  <c r="O154" i="1"/>
  <c r="R154" i="1" s="1"/>
  <c r="Q154" i="1"/>
  <c r="O228" i="1"/>
  <c r="R228" i="1"/>
  <c r="Q228" i="1"/>
  <c r="H152" i="1"/>
  <c r="R152" i="1" s="1"/>
  <c r="Q152" i="1"/>
  <c r="Q262" i="1"/>
  <c r="H262" i="1"/>
  <c r="R262" i="1" s="1"/>
  <c r="R279" i="1"/>
  <c r="H63" i="1"/>
  <c r="R63" i="1"/>
  <c r="Q63" i="1"/>
  <c r="H259" i="1"/>
  <c r="R259" i="1" s="1"/>
  <c r="Q185" i="1"/>
  <c r="H185" i="1"/>
  <c r="R185" i="1" s="1"/>
  <c r="G12" i="1"/>
  <c r="G9" i="1" s="1"/>
  <c r="H62" i="1"/>
  <c r="R62" i="1" s="1"/>
  <c r="Q62" i="1"/>
  <c r="N197" i="1"/>
  <c r="M85" i="1"/>
  <c r="N164" i="1"/>
  <c r="N277" i="1"/>
  <c r="R44" i="1"/>
  <c r="Q64" i="1"/>
  <c r="R75" i="1"/>
  <c r="R54" i="1"/>
  <c r="Q65" i="1"/>
  <c r="Q17" i="1"/>
  <c r="Q75" i="1"/>
  <c r="Q68" i="1"/>
  <c r="R18" i="1"/>
  <c r="R52" i="1"/>
  <c r="R306" i="1"/>
  <c r="H300" i="1"/>
  <c r="R300" i="1" s="1"/>
  <c r="H291" i="1"/>
  <c r="R291" i="1" s="1"/>
  <c r="Q287" i="1"/>
  <c r="R136" i="1"/>
  <c r="R99" i="1"/>
  <c r="R303" i="1"/>
  <c r="R166" i="1"/>
  <c r="R305" i="1"/>
  <c r="R314" i="1"/>
  <c r="R117" i="1"/>
  <c r="R25" i="1"/>
  <c r="R32" i="1"/>
  <c r="R202" i="1"/>
  <c r="R101" i="1"/>
  <c r="R33" i="1"/>
  <c r="R191" i="1"/>
  <c r="R11" i="1"/>
  <c r="R148" i="1"/>
  <c r="R146" i="1"/>
  <c r="J9" i="1"/>
  <c r="R67" i="1"/>
  <c r="O112" i="1"/>
  <c r="R112" i="1" s="1"/>
  <c r="H133" i="1"/>
  <c r="R133" i="1" s="1"/>
  <c r="Q133" i="1"/>
  <c r="H127" i="1"/>
  <c r="R127" i="1"/>
  <c r="Q123" i="1"/>
  <c r="H119" i="1"/>
  <c r="R119" i="1"/>
  <c r="Q119" i="1"/>
  <c r="H199" i="1"/>
  <c r="H197" i="1" s="1"/>
  <c r="Q199" i="1"/>
  <c r="H214" i="1"/>
  <c r="R214" i="1" s="1"/>
  <c r="F211" i="1"/>
  <c r="H261" i="1"/>
  <c r="O183" i="1"/>
  <c r="Q292" i="1"/>
  <c r="H292" i="1"/>
  <c r="R292" i="1" s="1"/>
  <c r="Q105" i="1"/>
  <c r="Q67" i="1"/>
  <c r="H307" i="1"/>
  <c r="R307" i="1" s="1"/>
  <c r="Q307" i="1"/>
  <c r="H70" i="1"/>
  <c r="R70" i="1"/>
  <c r="Q70" i="1"/>
  <c r="L235" i="1"/>
  <c r="J242" i="1"/>
  <c r="O308" i="1"/>
  <c r="R308" i="1"/>
  <c r="Q308" i="1"/>
  <c r="O227" i="1"/>
  <c r="Q227" i="1"/>
  <c r="Q226" i="1"/>
  <c r="H280" i="1"/>
  <c r="R280" i="1" s="1"/>
  <c r="P48" i="1"/>
  <c r="P76" i="1"/>
  <c r="O90" i="1"/>
  <c r="Q90" i="1"/>
  <c r="O187" i="1"/>
  <c r="R187" i="1" s="1"/>
  <c r="Q187" i="1"/>
  <c r="H76" i="1"/>
  <c r="R76" i="1"/>
  <c r="H97" i="1"/>
  <c r="R97" i="1"/>
  <c r="Q97" i="1"/>
  <c r="O42" i="1"/>
  <c r="R42" i="1" s="1"/>
  <c r="Q42" i="1"/>
  <c r="O169" i="1"/>
  <c r="R169" i="1"/>
  <c r="Q169" i="1"/>
  <c r="H162" i="1"/>
  <c r="H159" i="1" s="1"/>
  <c r="R159" i="1" s="1"/>
  <c r="Q162" i="1"/>
  <c r="O142" i="1"/>
  <c r="R142" i="1" s="1"/>
  <c r="Q142" i="1"/>
  <c r="P32" i="1"/>
  <c r="P197" i="1"/>
  <c r="P204" i="1"/>
  <c r="F150" i="1"/>
  <c r="N48" i="1"/>
  <c r="G181" i="1"/>
  <c r="F193" i="1"/>
  <c r="G45" i="1"/>
  <c r="F47" i="1"/>
  <c r="Q47" i="1"/>
  <c r="G197" i="1"/>
  <c r="F242" i="1"/>
  <c r="Q242" i="1" s="1"/>
  <c r="H297" i="1"/>
  <c r="R297" i="1"/>
  <c r="Q297" i="1"/>
  <c r="G164" i="1"/>
  <c r="L211" i="1"/>
  <c r="Q217" i="1"/>
  <c r="O217" i="1"/>
  <c r="R217" i="1"/>
  <c r="L277" i="1"/>
  <c r="J309" i="1"/>
  <c r="Q309" i="1" s="1"/>
  <c r="Q209" i="1"/>
  <c r="O209" i="1"/>
  <c r="R209" i="1"/>
  <c r="P144" i="1"/>
  <c r="Q196" i="1"/>
  <c r="Q83" i="1"/>
  <c r="O273" i="1"/>
  <c r="R273" i="1" s="1"/>
  <c r="J271" i="1"/>
  <c r="Q273" i="1"/>
  <c r="Q178" i="1"/>
  <c r="F12" i="1"/>
  <c r="Q12" i="1" s="1"/>
  <c r="Q164" i="1"/>
  <c r="H173" i="1"/>
  <c r="Q173" i="1"/>
  <c r="H94" i="1"/>
  <c r="R94" i="1"/>
  <c r="Q94" i="1"/>
  <c r="O249" i="1"/>
  <c r="Q249" i="1"/>
  <c r="J245" i="1"/>
  <c r="F271" i="1"/>
  <c r="Q271" i="1" s="1"/>
  <c r="H150" i="1"/>
  <c r="R150" i="1" s="1"/>
  <c r="Q150" i="1"/>
  <c r="P315" i="1"/>
  <c r="H242" i="1"/>
  <c r="O242" i="1"/>
  <c r="H47" i="1"/>
  <c r="R47" i="1" s="1"/>
  <c r="R90" i="1"/>
  <c r="F197" i="1"/>
  <c r="Q204" i="1"/>
  <c r="H204" i="1"/>
  <c r="R204" i="1"/>
  <c r="H193" i="1"/>
  <c r="Q193" i="1"/>
  <c r="F181" i="1"/>
  <c r="R162" i="1"/>
  <c r="R261" i="1"/>
  <c r="H12" i="1"/>
  <c r="R249" i="1"/>
  <c r="R173" i="1"/>
  <c r="H164" i="1"/>
  <c r="R164" i="1" s="1"/>
  <c r="R193" i="1"/>
  <c r="R12" i="1"/>
  <c r="O79" i="1"/>
  <c r="R79" i="1" s="1"/>
  <c r="Q79" i="1"/>
  <c r="O253" i="1"/>
  <c r="Q253" i="1"/>
  <c r="H27" i="1"/>
  <c r="Q27" i="1"/>
  <c r="E277" i="1"/>
  <c r="P288" i="1"/>
  <c r="P277" i="1" s="1"/>
  <c r="R242" i="1"/>
  <c r="O237" i="1"/>
  <c r="J235" i="1"/>
  <c r="K315" i="1"/>
  <c r="O108" i="1"/>
  <c r="R108" i="1"/>
  <c r="Q108" i="1"/>
  <c r="O164" i="1"/>
  <c r="Q192" i="1"/>
  <c r="O192" i="1"/>
  <c r="R192" i="1"/>
  <c r="O304" i="1"/>
  <c r="R304" i="1"/>
  <c r="Q304" i="1"/>
  <c r="H56" i="1"/>
  <c r="Q56" i="1"/>
  <c r="F48" i="1"/>
  <c r="Q48" i="1" s="1"/>
  <c r="H153" i="1"/>
  <c r="R153" i="1"/>
  <c r="Q153" i="1"/>
  <c r="R137" i="1"/>
  <c r="R126" i="1"/>
  <c r="R123" i="1"/>
  <c r="H223" i="1"/>
  <c r="R223" i="1"/>
  <c r="Q223" i="1"/>
  <c r="H268" i="1"/>
  <c r="R268" i="1" s="1"/>
  <c r="Q268" i="1"/>
  <c r="H257" i="1"/>
  <c r="Q257" i="1"/>
  <c r="Q24" i="1"/>
  <c r="O24" i="1"/>
  <c r="R24" i="1" s="1"/>
  <c r="O15" i="1"/>
  <c r="R15" i="1" s="1"/>
  <c r="Q15" i="1"/>
  <c r="O30" i="1"/>
  <c r="R30" i="1"/>
  <c r="Q30" i="1"/>
  <c r="O23" i="1"/>
  <c r="O9" i="1" s="1"/>
  <c r="Q23" i="1"/>
  <c r="G145" i="1"/>
  <c r="F149" i="1"/>
  <c r="J80" i="1"/>
  <c r="J48" i="1"/>
  <c r="L48" i="1"/>
  <c r="L315" i="1" s="1"/>
  <c r="J201" i="1"/>
  <c r="L197" i="1"/>
  <c r="O215" i="1"/>
  <c r="R215" i="1"/>
  <c r="J211" i="1"/>
  <c r="Q211" i="1"/>
  <c r="Q215" i="1"/>
  <c r="Q225" i="1"/>
  <c r="O225" i="1"/>
  <c r="R225" i="1"/>
  <c r="H92" i="1"/>
  <c r="F85" i="1"/>
  <c r="Q59" i="1"/>
  <c r="H59" i="1"/>
  <c r="R59" i="1" s="1"/>
  <c r="H248" i="1"/>
  <c r="R248" i="1" s="1"/>
  <c r="F245" i="1"/>
  <c r="Q245" i="1"/>
  <c r="Q248" i="1"/>
  <c r="O309" i="1"/>
  <c r="R309" i="1" s="1"/>
  <c r="J85" i="1"/>
  <c r="F45" i="1"/>
  <c r="Q45" i="1" s="1"/>
  <c r="G245" i="1"/>
  <c r="R253" i="1"/>
  <c r="R275" i="1"/>
  <c r="O203" i="1"/>
  <c r="R203" i="1"/>
  <c r="Q203" i="1"/>
  <c r="O73" i="1"/>
  <c r="R73" i="1" s="1"/>
  <c r="Q73" i="1"/>
  <c r="O188" i="1"/>
  <c r="O181" i="1"/>
  <c r="Q188" i="1"/>
  <c r="J181" i="1"/>
  <c r="Q181" i="1"/>
  <c r="O177" i="1"/>
  <c r="R177" i="1"/>
  <c r="Q177" i="1"/>
  <c r="O199" i="1"/>
  <c r="J197" i="1"/>
  <c r="Q197" i="1"/>
  <c r="R172" i="1"/>
  <c r="R285" i="1"/>
  <c r="Q186" i="1"/>
  <c r="O186" i="1"/>
  <c r="R186" i="1" s="1"/>
  <c r="Q174" i="1"/>
  <c r="H174" i="1"/>
  <c r="R174" i="1"/>
  <c r="O116" i="1"/>
  <c r="R116" i="1"/>
  <c r="Q116" i="1"/>
  <c r="O88" i="1"/>
  <c r="O85" i="1" s="1"/>
  <c r="Q281" i="1"/>
  <c r="Q208" i="1"/>
  <c r="R23" i="1"/>
  <c r="R111" i="1"/>
  <c r="R188" i="1"/>
  <c r="H288" i="1"/>
  <c r="R288" i="1" s="1"/>
  <c r="H311" i="1"/>
  <c r="R311" i="1" s="1"/>
  <c r="O159" i="1"/>
  <c r="O129" i="1"/>
  <c r="R129" i="1" s="1"/>
  <c r="Q129" i="1"/>
  <c r="O241" i="1"/>
  <c r="R241" i="1"/>
  <c r="Q241" i="1"/>
  <c r="O259" i="1"/>
  <c r="Q259" i="1"/>
  <c r="Q141" i="1"/>
  <c r="Q122" i="1"/>
  <c r="Q179" i="1"/>
  <c r="Q289" i="1"/>
  <c r="Q260" i="1"/>
  <c r="H61" i="1"/>
  <c r="R61" i="1" s="1"/>
  <c r="Q263" i="1"/>
  <c r="Q120" i="1"/>
  <c r="J159" i="1"/>
  <c r="Q159" i="1" s="1"/>
  <c r="J254" i="1"/>
  <c r="Q111" i="1"/>
  <c r="H53" i="1"/>
  <c r="R53" i="1" s="1"/>
  <c r="Q53" i="1"/>
  <c r="G48" i="1"/>
  <c r="F302" i="1"/>
  <c r="Q302" i="1" s="1"/>
  <c r="G293" i="1"/>
  <c r="O143" i="1"/>
  <c r="R143" i="1" s="1"/>
  <c r="Q143" i="1"/>
  <c r="H312" i="1"/>
  <c r="R312" i="1"/>
  <c r="R88" i="1"/>
  <c r="R27" i="1"/>
  <c r="H149" i="1"/>
  <c r="R149" i="1" s="1"/>
  <c r="Q149" i="1"/>
  <c r="F293" i="1"/>
  <c r="Q293" i="1" s="1"/>
  <c r="G277" i="1"/>
  <c r="O80" i="1"/>
  <c r="R80" i="1" s="1"/>
  <c r="Q80" i="1"/>
  <c r="H302" i="1"/>
  <c r="R302" i="1" s="1"/>
  <c r="O254" i="1"/>
  <c r="Q85" i="1"/>
  <c r="O201" i="1"/>
  <c r="R201" i="1"/>
  <c r="Q201" i="1"/>
  <c r="F145" i="1"/>
  <c r="F144" i="1" s="1"/>
  <c r="G144" i="1"/>
  <c r="G109" i="1"/>
  <c r="R257" i="1"/>
  <c r="O235" i="1"/>
  <c r="H45" i="1"/>
  <c r="R45" i="1" s="1"/>
  <c r="F9" i="1"/>
  <c r="H245" i="1"/>
  <c r="R245" i="1" s="1"/>
  <c r="R92" i="1"/>
  <c r="R56" i="1"/>
  <c r="H293" i="1"/>
  <c r="H9" i="1"/>
  <c r="R9" i="1" s="1"/>
  <c r="H145" i="1"/>
  <c r="R145" i="1" s="1"/>
  <c r="Q145" i="1"/>
  <c r="Q9" i="1"/>
  <c r="R293" i="1"/>
  <c r="R281" i="1" l="1"/>
  <c r="H277" i="1"/>
  <c r="H144" i="1"/>
  <c r="F109" i="1"/>
  <c r="Q144" i="1"/>
  <c r="R277" i="1"/>
  <c r="O109" i="1"/>
  <c r="R132" i="1"/>
  <c r="Q277" i="1"/>
  <c r="O271" i="1"/>
  <c r="O147" i="1"/>
  <c r="R147" i="1" s="1"/>
  <c r="Q147" i="1"/>
  <c r="H189" i="1"/>
  <c r="R189" i="1" s="1"/>
  <c r="Q189" i="1"/>
  <c r="H91" i="1"/>
  <c r="R91" i="1" s="1"/>
  <c r="Q91" i="1"/>
  <c r="R122" i="1"/>
  <c r="R118" i="1"/>
  <c r="R115" i="1"/>
  <c r="H233" i="1"/>
  <c r="Q233" i="1"/>
  <c r="H229" i="1"/>
  <c r="R229" i="1" s="1"/>
  <c r="Q229" i="1"/>
  <c r="R227" i="1"/>
  <c r="H256" i="1"/>
  <c r="Q256" i="1"/>
  <c r="O200" i="1"/>
  <c r="O197" i="1" s="1"/>
  <c r="R197" i="1" s="1"/>
  <c r="Q200" i="1"/>
  <c r="Q113" i="1"/>
  <c r="H113" i="1"/>
  <c r="R113" i="1" s="1"/>
  <c r="Q84" i="1"/>
  <c r="O84" i="1"/>
  <c r="R284" i="1"/>
  <c r="O180" i="1"/>
  <c r="R180" i="1" s="1"/>
  <c r="Q180" i="1"/>
  <c r="R17" i="1"/>
  <c r="H87" i="1"/>
  <c r="Q87" i="1"/>
  <c r="G235" i="1"/>
  <c r="F237" i="1"/>
  <c r="H22" i="1"/>
  <c r="R22" i="1" s="1"/>
  <c r="Q22" i="1"/>
  <c r="G265" i="1"/>
  <c r="F267" i="1"/>
  <c r="H301" i="1"/>
  <c r="R301" i="1" s="1"/>
  <c r="Q301" i="1"/>
  <c r="Q298" i="1"/>
  <c r="O298" i="1"/>
  <c r="R298" i="1" s="1"/>
  <c r="O58" i="1"/>
  <c r="R58" i="1" s="1"/>
  <c r="Q58" i="1"/>
  <c r="F277" i="1"/>
  <c r="R199" i="1"/>
  <c r="O277" i="1"/>
  <c r="H276" i="1"/>
  <c r="R276" i="1" s="1"/>
  <c r="J277" i="1"/>
  <c r="J315" i="1" s="1"/>
  <c r="Q155" i="1"/>
  <c r="Q132" i="1"/>
  <c r="Q261" i="1"/>
  <c r="Q127" i="1"/>
  <c r="Q38" i="1"/>
  <c r="Q26" i="1"/>
  <c r="Q252" i="1"/>
  <c r="Q184" i="1"/>
  <c r="Q216" i="1"/>
  <c r="Q130" i="1"/>
  <c r="Q221" i="1"/>
  <c r="R51" i="1"/>
  <c r="Q157" i="1"/>
  <c r="Q285" i="1"/>
  <c r="Q274" i="1"/>
  <c r="R200" i="1"/>
  <c r="R168" i="1"/>
  <c r="R179" i="1"/>
  <c r="Q183" i="1"/>
  <c r="H183" i="1"/>
  <c r="H190" i="1"/>
  <c r="R190" i="1" s="1"/>
  <c r="Q190" i="1"/>
  <c r="H78" i="1"/>
  <c r="Q78" i="1"/>
  <c r="R74" i="1"/>
  <c r="R105" i="1"/>
  <c r="H93" i="1"/>
  <c r="R93" i="1" s="1"/>
  <c r="Q93" i="1"/>
  <c r="R140" i="1"/>
  <c r="H218" i="1"/>
  <c r="R218" i="1" s="1"/>
  <c r="Q218" i="1"/>
  <c r="R102" i="1"/>
  <c r="O234" i="1"/>
  <c r="R234" i="1" s="1"/>
  <c r="Q234" i="1"/>
  <c r="O60" i="1"/>
  <c r="R60" i="1" s="1"/>
  <c r="Q60" i="1"/>
  <c r="M315" i="1"/>
  <c r="N9" i="1"/>
  <c r="N85" i="1"/>
  <c r="M235" i="1"/>
  <c r="R78" i="1" l="1"/>
  <c r="H48" i="1"/>
  <c r="G254" i="1"/>
  <c r="G315" i="1" s="1"/>
  <c r="F265" i="1"/>
  <c r="H85" i="1"/>
  <c r="R85" i="1" s="1"/>
  <c r="R87" i="1"/>
  <c r="R256" i="1"/>
  <c r="Q109" i="1"/>
  <c r="H271" i="1"/>
  <c r="R271" i="1" s="1"/>
  <c r="N315" i="1"/>
  <c r="H181" i="1"/>
  <c r="R181" i="1" s="1"/>
  <c r="R183" i="1"/>
  <c r="H267" i="1"/>
  <c r="R267" i="1" s="1"/>
  <c r="Q267" i="1"/>
  <c r="Q237" i="1"/>
  <c r="F235" i="1"/>
  <c r="Q235" i="1" s="1"/>
  <c r="H237" i="1"/>
  <c r="O48" i="1"/>
  <c r="R84" i="1"/>
  <c r="H211" i="1"/>
  <c r="R233" i="1"/>
  <c r="R144" i="1"/>
  <c r="H109" i="1"/>
  <c r="R109" i="1" s="1"/>
  <c r="O211" i="1"/>
  <c r="H235" i="1" l="1"/>
  <c r="R235" i="1" s="1"/>
  <c r="R237" i="1"/>
  <c r="R211" i="1"/>
  <c r="O315" i="1"/>
  <c r="H265" i="1"/>
  <c r="F254" i="1"/>
  <c r="Q254" i="1" s="1"/>
  <c r="Q265" i="1"/>
  <c r="R48" i="1"/>
  <c r="R265" i="1" l="1"/>
  <c r="H254" i="1"/>
  <c r="F315" i="1"/>
  <c r="Q315" i="1" s="1"/>
  <c r="R254" i="1" l="1"/>
  <c r="H315" i="1"/>
  <c r="R315" i="1" s="1"/>
</calcChain>
</file>

<file path=xl/sharedStrings.xml><?xml version="1.0" encoding="utf-8"?>
<sst xmlns="http://schemas.openxmlformats.org/spreadsheetml/2006/main" count="836" uniqueCount="567">
  <si>
    <t>(грн.)</t>
  </si>
  <si>
    <t>Код програмної класифікації видатків та кредитування місцевих бюджетів</t>
  </si>
  <si>
    <t>Видатки загального фонду</t>
  </si>
  <si>
    <t>Видатки спеціального фонду</t>
  </si>
  <si>
    <t>Всього</t>
  </si>
  <si>
    <t>з них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</si>
  <si>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</si>
  <si>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</si>
  <si>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Виконавчий комітет Івано-Франківської міської ради</t>
  </si>
  <si>
    <t>Департамент соціальної політики виконавчого комітету міської ради</t>
  </si>
  <si>
    <t>Керівництво і управління у сфері соціального захисту населення</t>
  </si>
  <si>
    <t>Надання субсидій населенню для відшкодування витрат на оплату житлово-комунальних послуг</t>
  </si>
  <si>
    <t>Надання пільг окремим категоріям громадян з послуг зв`язку</t>
  </si>
  <si>
    <t>Компенсацiйнi виплати за пiльговий проїзд окремих категорiй громадян на залізничному транспорті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</si>
  <si>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</si>
  <si>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</si>
  <si>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</si>
  <si>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</si>
  <si>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</si>
  <si>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</si>
  <si>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Надання державної соціальної допомоги малозабезпеченим сім`ям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</si>
  <si>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</si>
  <si>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Служба у справах дітей виконавчого комітету міської ради</t>
  </si>
  <si>
    <t>Охорона та раціональне використання природних ресурсів</t>
  </si>
  <si>
    <t>Управління капітального будівництва виконавчого комітету міської ради</t>
  </si>
  <si>
    <t>Керівництво і управління у сфері капітального будівництва</t>
  </si>
  <si>
    <t>Управління економічного та інтеграційного розвитку</t>
  </si>
  <si>
    <t>Сприяння розвитку малого та середнього підприємництва</t>
  </si>
  <si>
    <t>Фінансове управління виконавчого комітету міської ради</t>
  </si>
  <si>
    <t>Резервний фонд</t>
  </si>
  <si>
    <t>Керівництво і управління у сфері освіти і науки</t>
  </si>
  <si>
    <t>Надання загальної середньої освіти загальноосвітніми навчальними закладами (в т.ч. школою-дитячим садком, iнтернатом  при школi), спецiалiзованими  школами, лiцеями, гімназіями, колегіумами</t>
  </si>
  <si>
    <t>Надання загальної середньої освіти вечірніми (змінними) школами</t>
  </si>
  <si>
    <t>Надання загальної середньої освіти спеціальними загальноосвітніми школами-інтернатами,  школами та іншими навчальними закладами для дітей, які потребують корекції фізичного та (або) розумового розвитку</t>
  </si>
  <si>
    <t>Надання позашкільної освіти позашкільними закладами освіти, заходи із позашкільної роботи з дітьми</t>
  </si>
  <si>
    <t>Реалізація заходів щодо інвестиційного розвитку території</t>
  </si>
  <si>
    <t>Багатопрофільна стаціонарна медична допомога населенню</t>
  </si>
  <si>
    <t>Керівництво і управління у справах дітей</t>
  </si>
  <si>
    <t xml:space="preserve">Керівництво і управління у сфері культури </t>
  </si>
  <si>
    <t>Внески до статутного капіталу суб'єктів господарювання</t>
  </si>
  <si>
    <t xml:space="preserve">Керівництво і управління у сфері містобудування та архітектури </t>
  </si>
  <si>
    <t xml:space="preserve">Керівництво і управління у сфері  економічного та інтеграційного розвитку міста </t>
  </si>
  <si>
    <t>№______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</si>
  <si>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</si>
  <si>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 xml:space="preserve">Лікарсько-акушерська допомога вагітним, породіллям та новонародженим  </t>
  </si>
  <si>
    <t>Додаток 3</t>
  </si>
  <si>
    <t>Департамент житлової, комунальної політики та благоустрою</t>
  </si>
  <si>
    <t>Керівництво і управління у сфері житолової, комунальної політики та благоустрою</t>
  </si>
  <si>
    <t>Капітальний ремонт житлового фонду</t>
  </si>
  <si>
    <t>0180</t>
  </si>
  <si>
    <t>Компенсаційні виплати на пільговий проїзд електротранспортом окремим категоріям громадян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</si>
  <si>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</si>
  <si>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Реверсна дотація</t>
  </si>
  <si>
    <t>0133</t>
  </si>
  <si>
    <t>0930</t>
  </si>
  <si>
    <r>
      <t>Код ТПКВКМБ /
ТКВКБМС</t>
    </r>
    <r>
      <rPr>
        <b/>
        <vertAlign val="superscript"/>
        <sz val="8"/>
        <rFont val="Times New Roman"/>
        <family val="1"/>
        <charset val="204"/>
      </rPr>
      <t>2</t>
    </r>
  </si>
  <si>
    <r>
      <t>Код ФКВКБ</t>
    </r>
    <r>
      <rPr>
        <b/>
        <strike/>
        <vertAlign val="superscript"/>
        <sz val="8"/>
        <rFont val="Times New Roman"/>
        <family val="1"/>
        <charset val="204"/>
      </rPr>
      <t>3</t>
    </r>
  </si>
  <si>
    <t>у тому числі за рахунок освітньої субвенції з Державного бюджету України</t>
  </si>
  <si>
    <t>0511</t>
  </si>
  <si>
    <t>у тому числі за рахунок медичної субвенції з Державного бюджету України</t>
  </si>
  <si>
    <t>0731</t>
  </si>
  <si>
    <t>0733</t>
  </si>
  <si>
    <t>0721</t>
  </si>
  <si>
    <t>0722</t>
  </si>
  <si>
    <t>0763</t>
  </si>
  <si>
    <t>Департамент комунальних ресурсів міської ради</t>
  </si>
  <si>
    <t>0111</t>
  </si>
  <si>
    <t>Департамент молодіжної політики та спорту</t>
  </si>
  <si>
    <t>Департамент освіти і науки  міської ради</t>
  </si>
  <si>
    <t>Керівництво та управління у сфері молодіжної політики та спорту</t>
  </si>
  <si>
    <t>Керівництво і управління у сфері складання та виконання місцевого бюджету</t>
  </si>
  <si>
    <t>Керівництво і управління у сфері комунальної власності</t>
  </si>
  <si>
    <t>Департамент містобудування, архітектури та кульутрної спадщини  виконавчого комітету міської ради</t>
  </si>
  <si>
    <t>Департамент культури  міської ради</t>
  </si>
  <si>
    <t>1070</t>
  </si>
  <si>
    <t>0610</t>
  </si>
  <si>
    <t>0620</t>
  </si>
  <si>
    <t>0490</t>
  </si>
  <si>
    <t>0411</t>
  </si>
  <si>
    <t>Програма промоції міста Івно-Франківська на 2016-2020 роки</t>
  </si>
  <si>
    <t>Комплексна  програма  сприяння залученню інвестицій в економіку м. Івано-Франківська на  2016 – 2020 роки</t>
  </si>
  <si>
    <t xml:space="preserve">в тому числі </t>
  </si>
  <si>
    <t>- виконання рішень судів, стягнення судових витрат</t>
  </si>
  <si>
    <t>Програма розвитку дитячо-юнацького футболу на 2016-2020 рр</t>
  </si>
  <si>
    <t>0910</t>
  </si>
  <si>
    <t>0921</t>
  </si>
  <si>
    <t>0922</t>
  </si>
  <si>
    <t>0960</t>
  </si>
  <si>
    <t>0950</t>
  </si>
  <si>
    <t>0990</t>
  </si>
  <si>
    <t>1040</t>
  </si>
  <si>
    <t>0810</t>
  </si>
  <si>
    <t xml:space="preserve">Проведення навчально-тренувальних зборiв i змагань з олімпійських видів спорту </t>
  </si>
  <si>
    <t>5011</t>
  </si>
  <si>
    <t>- видатки на виконання судових рішень</t>
  </si>
  <si>
    <t>- примусове виконання рішень суду</t>
  </si>
  <si>
    <t>4060</t>
  </si>
  <si>
    <t>0824</t>
  </si>
  <si>
    <t>0828</t>
  </si>
  <si>
    <t>0829</t>
  </si>
  <si>
    <t>0830</t>
  </si>
  <si>
    <t>1030</t>
  </si>
  <si>
    <t>1060</t>
  </si>
  <si>
    <t>1010</t>
  </si>
  <si>
    <t>1020</t>
  </si>
  <si>
    <t>1090</t>
  </si>
  <si>
    <t>0821</t>
  </si>
  <si>
    <t>Внески до статутного капіталу суб’єктів господарювання</t>
  </si>
  <si>
    <t>6324</t>
  </si>
  <si>
    <t>Будівництво та придбання житла для окремих категорій населення</t>
  </si>
  <si>
    <t>Програма розвитку місцевого самоврядування та громадянського суспільства в м.Івано-Франківську на 2016-2020 роки</t>
  </si>
  <si>
    <t>Компенсаційні виплати на пільговий проїзд автомобільним транспортом окремим категоріям громодян</t>
  </si>
  <si>
    <t>Пільгове медичне обслуговування осіб, які постраждали внаслідок Чорнобильської катастрофи</t>
  </si>
  <si>
    <t xml:space="preserve">Програма легалізації найманої праці та забезпечення кваліфікованими кадрами підприємств м. Івано-Франківська на 2017-2020 р.р.  </t>
  </si>
  <si>
    <t>3021</t>
  </si>
  <si>
    <t>Утримання та  навчально-тренувальна робота комунальних дитячо-юнацьких  спортивних шкіл</t>
  </si>
  <si>
    <t>0320</t>
  </si>
  <si>
    <t>в тому числі:</t>
  </si>
  <si>
    <t>Об'єднання муніципальних мистецьких колективів міста</t>
  </si>
  <si>
    <t xml:space="preserve">Проведення навчально-тренувальних зборiв i змагань з неолімпійських видів спорту </t>
  </si>
  <si>
    <t>5012</t>
  </si>
  <si>
    <t>0160</t>
  </si>
  <si>
    <t>3131</t>
  </si>
  <si>
    <t>Здійснення заходів та реалізація проектів на виконання Державної цільової соціальної програми "Молодь України"</t>
  </si>
  <si>
    <t>5021</t>
  </si>
  <si>
    <t>5022</t>
  </si>
  <si>
    <t>5031</t>
  </si>
  <si>
    <t>5061</t>
  </si>
  <si>
    <t>Забезпечення діяльності місцевих центрів фізичного здоров'я населення «Спорт для всіх» та проведення  фізкультурно-масових заходів серед населення регіону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</si>
  <si>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</si>
  <si>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</si>
  <si>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4010</t>
  </si>
  <si>
    <t>Фінансова підтримка театрів</t>
  </si>
  <si>
    <t>4030</t>
  </si>
  <si>
    <t>Забезпечення діяльності бiблiотек</t>
  </si>
  <si>
    <t>Забезпечення діяльності палаців і будинків культури, клубів, центрів дозвілля та інші клубних закладів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</si>
  <si>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</si>
  <si>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</si>
  <si>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4080</t>
  </si>
  <si>
    <t>Інші заклади та заходи в галузі культури і мистецтва</t>
  </si>
  <si>
    <t>8410</t>
  </si>
  <si>
    <t>Фінансова підтримка засобів масової інформації</t>
  </si>
  <si>
    <t>8130</t>
  </si>
  <si>
    <t>Забезпечення діяльності місцевої пожежної охорони</t>
  </si>
  <si>
    <t>7670</t>
  </si>
  <si>
    <t>Надання дошкільної освіти</t>
  </si>
  <si>
    <t>1110</t>
  </si>
  <si>
    <t>Підготовка кадрів професійно-технічними закладами та іншими закладами освіти</t>
  </si>
  <si>
    <t>Підвищення кваліфікації, перепідготовка кадрів закладами післядипломної освіти</t>
  </si>
  <si>
    <t>1150</t>
  </si>
  <si>
    <t xml:space="preserve">Методичне забезпечення діяльності навчальних закладів </t>
  </si>
  <si>
    <t>3132</t>
  </si>
  <si>
    <t>Утримання клубів для підлітків за місцем проживання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</si>
  <si>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</si>
  <si>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</si>
  <si>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Керівництво та управління у сфері охорони здоров'я</t>
  </si>
  <si>
    <t xml:space="preserve">Управління охорони здоров'я Івано-Франківської міської ради </t>
  </si>
  <si>
    <t>2030</t>
  </si>
  <si>
    <t>2080</t>
  </si>
  <si>
    <t>2100</t>
  </si>
  <si>
    <t>Стоматологічна допомога населенню</t>
  </si>
  <si>
    <t>6013</t>
  </si>
  <si>
    <t>Забезпечення діяльності водопровідно-каналізаційного господарства</t>
  </si>
  <si>
    <t>6030</t>
  </si>
  <si>
    <t>Організація благоустрою населених пунктів</t>
  </si>
  <si>
    <t>8311</t>
  </si>
  <si>
    <t>Реалізація інших заходів щодо соціально-економічного розвитку територій</t>
  </si>
  <si>
    <t>7610</t>
  </si>
  <si>
    <t>8600</t>
  </si>
  <si>
    <t>Обслуговування  місцевого боргу</t>
  </si>
  <si>
    <t>0170</t>
  </si>
  <si>
    <t>8700</t>
  </si>
  <si>
    <t>9770</t>
  </si>
  <si>
    <t xml:space="preserve">Інші субвенції з місцевого бюджету </t>
  </si>
  <si>
    <t>9110</t>
  </si>
  <si>
    <t>Надання інших пільг окремим категоріям громадян відповідно до законодавства</t>
  </si>
  <si>
    <t>3032</t>
  </si>
  <si>
    <t>3121</t>
  </si>
  <si>
    <t>Утримання та забезпечення діяльнлсті центрів  соціальних служб для сім'ї, дітей та молоді</t>
  </si>
  <si>
    <t>0600000</t>
  </si>
  <si>
    <t>0700000</t>
  </si>
  <si>
    <t>0710000</t>
  </si>
  <si>
    <t>0710160</t>
  </si>
  <si>
    <t>0712010</t>
  </si>
  <si>
    <t>0712030</t>
  </si>
  <si>
    <t>0712080</t>
  </si>
  <si>
    <t>0712100</t>
  </si>
  <si>
    <t>0800000</t>
  </si>
  <si>
    <t>0900000</t>
  </si>
  <si>
    <t>1000000</t>
  </si>
  <si>
    <t>3700000</t>
  </si>
  <si>
    <t>3710000</t>
  </si>
  <si>
    <t>3710160</t>
  </si>
  <si>
    <t>3718600</t>
  </si>
  <si>
    <t>1200000</t>
  </si>
  <si>
    <t>1210000</t>
  </si>
  <si>
    <t>1210160</t>
  </si>
  <si>
    <t>1216013</t>
  </si>
  <si>
    <t>1216030</t>
  </si>
  <si>
    <t>1217670</t>
  </si>
  <si>
    <t>0810160</t>
  </si>
  <si>
    <t>0813012</t>
  </si>
  <si>
    <t>0813031</t>
  </si>
  <si>
    <t>0813032</t>
  </si>
  <si>
    <t>0813041</t>
  </si>
  <si>
    <t>0813042</t>
  </si>
  <si>
    <t>0813043</t>
  </si>
  <si>
    <t>0813044</t>
  </si>
  <si>
    <t>0813045</t>
  </si>
  <si>
    <t>0813046</t>
  </si>
  <si>
    <t>0813047</t>
  </si>
  <si>
    <t>0813050</t>
  </si>
  <si>
    <t>0813090</t>
  </si>
  <si>
    <t>0813230</t>
  </si>
  <si>
    <t>3230</t>
  </si>
  <si>
    <t>0813104</t>
  </si>
  <si>
    <t>0813121</t>
  </si>
  <si>
    <t>Надання пільг   на оплату житлово-комунальних  послуг окремим категоріям громадян відповідно до законодавства</t>
  </si>
  <si>
    <t>0813011</t>
  </si>
  <si>
    <t>0813021</t>
  </si>
  <si>
    <t>Надання пільг  на придбання твердого  та рідкого пічного побутового палива і  скрапленого газу окремим категоріям громадян відповідно до законодавства.</t>
  </si>
  <si>
    <t>0813022</t>
  </si>
  <si>
    <t>3022</t>
  </si>
  <si>
    <t>3012</t>
  </si>
  <si>
    <t>0810000</t>
  </si>
  <si>
    <t>0218130</t>
  </si>
  <si>
    <t>0217670</t>
  </si>
  <si>
    <t>0610000</t>
  </si>
  <si>
    <t>0610160</t>
  </si>
  <si>
    <t>0611010</t>
  </si>
  <si>
    <t>0611020</t>
  </si>
  <si>
    <t>0611030</t>
  </si>
  <si>
    <t>0611070</t>
  </si>
  <si>
    <t>0611090</t>
  </si>
  <si>
    <t>0611110</t>
  </si>
  <si>
    <t>0611140</t>
  </si>
  <si>
    <t>0611150</t>
  </si>
  <si>
    <t>0613132</t>
  </si>
  <si>
    <t>0613140</t>
  </si>
  <si>
    <t>0615031</t>
  </si>
  <si>
    <t>0910000</t>
  </si>
  <si>
    <t>0910160</t>
  </si>
  <si>
    <t>1010000</t>
  </si>
  <si>
    <t>1010160</t>
  </si>
  <si>
    <t>1014010</t>
  </si>
  <si>
    <t>1014030</t>
  </si>
  <si>
    <t>1014060</t>
  </si>
  <si>
    <t>1011100</t>
  </si>
  <si>
    <t>1014080</t>
  </si>
  <si>
    <t>1018410</t>
  </si>
  <si>
    <t>1900000</t>
  </si>
  <si>
    <t>1910000</t>
  </si>
  <si>
    <t>1910160</t>
  </si>
  <si>
    <t>1916030</t>
  </si>
  <si>
    <t>1917670</t>
  </si>
  <si>
    <t>0813033</t>
  </si>
  <si>
    <t>3033</t>
  </si>
  <si>
    <t>0813035</t>
  </si>
  <si>
    <t>3035</t>
  </si>
  <si>
    <t>0813036</t>
  </si>
  <si>
    <t>3036</t>
  </si>
  <si>
    <t>0210180</t>
  </si>
  <si>
    <t>Інша діяльність у сфері державного управління</t>
  </si>
  <si>
    <t>0217680</t>
  </si>
  <si>
    <t>7680</t>
  </si>
  <si>
    <t>0218210</t>
  </si>
  <si>
    <t>8210</t>
  </si>
  <si>
    <t>0380</t>
  </si>
  <si>
    <t>видатки на утримання КП "Муніципальна варта"</t>
  </si>
  <si>
    <t>Муніципальні формування з охорони громадського порядку</t>
  </si>
  <si>
    <t>видатки на утримання Громадського формування з охорони громадського порядку "Штаб"</t>
  </si>
  <si>
    <t>0218220</t>
  </si>
  <si>
    <t>8220</t>
  </si>
  <si>
    <t>Цільова програма фінансування мобілізаційних заходів та оборонної роботи Івано-Франківської міської ради на 2018 рік</t>
  </si>
  <si>
    <t>0218110</t>
  </si>
  <si>
    <t>8110</t>
  </si>
  <si>
    <t>8230</t>
  </si>
  <si>
    <t>0218230</t>
  </si>
  <si>
    <t>- відшкодування комунальних послуг за призовну дільницю</t>
  </si>
  <si>
    <t xml:space="preserve">у тому числі: </t>
  </si>
  <si>
    <t>Комплексна цільова соціальна програма розвитку цивільного захисту населення та території міста Івано-Франківська від надзвичайних ситуацій природного і техногенного характеру на 2016-2020 роки</t>
  </si>
  <si>
    <t>Членські внески до асоціацій органів місцевого самоврядування</t>
  </si>
  <si>
    <t>3718700</t>
  </si>
  <si>
    <t>3719110</t>
  </si>
  <si>
    <t>3719770</t>
  </si>
  <si>
    <t>3710180</t>
  </si>
  <si>
    <t>Іншi діяльність у сфері державного управління</t>
  </si>
  <si>
    <t>Інші заходи громадського порядку та безпеки</t>
  </si>
  <si>
    <t>Заходи та роботи з мобілізаційної підготовки місцевого значення</t>
  </si>
  <si>
    <t>- газета "Західний курєр"</t>
  </si>
  <si>
    <t>Порограма розвитку електронного урядування у виконавчому комітеті Івано-Франківської міської ради на 2018-2019 роки</t>
  </si>
  <si>
    <t>7622</t>
  </si>
  <si>
    <t>0470</t>
  </si>
  <si>
    <r>
      <rPr>
        <i/>
        <sz val="9"/>
        <rFont val="Times New Roman"/>
        <family val="1"/>
        <charset val="204"/>
      </rPr>
      <t xml:space="preserve">у тому числі   </t>
    </r>
    <r>
      <rPr>
        <sz val="9"/>
        <rFont val="Times New Roman"/>
        <family val="1"/>
        <charset val="204"/>
      </rPr>
      <t>Програма розвитку туристичної галузі м. Івано-Франківська на 2016-2020рр.</t>
    </r>
  </si>
  <si>
    <t>2717622</t>
  </si>
  <si>
    <t>2710000</t>
  </si>
  <si>
    <t>2710160</t>
  </si>
  <si>
    <t>2717693</t>
  </si>
  <si>
    <t>Заходи з енергозбереження</t>
  </si>
  <si>
    <t>2717640</t>
  </si>
  <si>
    <t>7640</t>
  </si>
  <si>
    <t>Інші заходи, пов'язані з економічною діяльністю</t>
  </si>
  <si>
    <t>у тому числі:</t>
  </si>
  <si>
    <r>
      <rPr>
        <i/>
        <sz val="9"/>
        <rFont val="Times New Roman"/>
        <family val="1"/>
        <charset val="204"/>
      </rPr>
      <t xml:space="preserve">у тому числі   </t>
    </r>
    <r>
      <rPr>
        <sz val="9"/>
        <rFont val="Times New Roman"/>
        <family val="1"/>
        <charset val="204"/>
      </rPr>
      <t>Програма сталого енергетичного розвитку м. Івано-Франківська на період до 2020 р.</t>
    </r>
  </si>
  <si>
    <t>2717610</t>
  </si>
  <si>
    <t>2700000</t>
  </si>
  <si>
    <t>3100000</t>
  </si>
  <si>
    <t>3110000</t>
  </si>
  <si>
    <t>3110160</t>
  </si>
  <si>
    <t>3117130</t>
  </si>
  <si>
    <t>7130</t>
  </si>
  <si>
    <t>0421</t>
  </si>
  <si>
    <t>Здійснення заходів із землеустрою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</si>
  <si>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</si>
  <si>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</si>
  <si>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</si>
  <si>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3110180</t>
  </si>
  <si>
    <t>7350</t>
  </si>
  <si>
    <t>0443</t>
  </si>
  <si>
    <t>Розроблення схем планування та забудови територій (містобудівної документації)</t>
  </si>
  <si>
    <t>1600000</t>
  </si>
  <si>
    <t>1610000</t>
  </si>
  <si>
    <t>1610160</t>
  </si>
  <si>
    <t>1617350</t>
  </si>
  <si>
    <t>с.Вовчинець</t>
  </si>
  <si>
    <t>с.Крихівці</t>
  </si>
  <si>
    <t>с.Микитинці</t>
  </si>
  <si>
    <t>с.Угорники</t>
  </si>
  <si>
    <t>с.Хриплин</t>
  </si>
  <si>
    <t>Організація та проведення громадських робіт</t>
  </si>
  <si>
    <t>1050</t>
  </si>
  <si>
    <t xml:space="preserve"> за рахунок субвенції з обласного бюджету</t>
  </si>
  <si>
    <t>Містечко милосердя Святого Миколая""</t>
  </si>
  <si>
    <t>Центр соціально-психологічної реабілітації "Дивосвіт"</t>
  </si>
  <si>
    <t>Будинок нічного перебування</t>
  </si>
  <si>
    <t>в тому числі :Програми і заходи цнтру  служб для сім'ї, дітей та молоді</t>
  </si>
  <si>
    <t>1500000</t>
  </si>
  <si>
    <t>1510000</t>
  </si>
  <si>
    <t>1510160</t>
  </si>
  <si>
    <t>1518311</t>
  </si>
  <si>
    <t>1910180</t>
  </si>
  <si>
    <t>1210180</t>
  </si>
  <si>
    <t>0210160</t>
  </si>
  <si>
    <t>Комплексна програма профілактики злочинності в місті до 2020 року</t>
  </si>
  <si>
    <t>Управління транспорту та зв'язку</t>
  </si>
  <si>
    <t>1617340</t>
  </si>
  <si>
    <t>7340</t>
  </si>
  <si>
    <t>Проектування, реставрація та охолрона пам'яток архітектури</t>
  </si>
  <si>
    <t>0453</t>
  </si>
  <si>
    <t>1510180</t>
  </si>
  <si>
    <t>1917422</t>
  </si>
  <si>
    <t>7422</t>
  </si>
  <si>
    <t>Регулювання цін на послуги місцевого наземного електротранспорту</t>
  </si>
  <si>
    <t xml:space="preserve">інші видатки </t>
  </si>
  <si>
    <t>1216011</t>
  </si>
  <si>
    <t>6011</t>
  </si>
  <si>
    <t>Експлуатація та технічне обслуговування житлового фонду</t>
  </si>
  <si>
    <t>1217310</t>
  </si>
  <si>
    <t>7310</t>
  </si>
  <si>
    <t>Будівництво1 об'єктів житлово-комунального господарства</t>
  </si>
  <si>
    <t>1511010</t>
  </si>
  <si>
    <t>1511020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</si>
  <si>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</si>
  <si>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1512010</t>
  </si>
  <si>
    <t>2010</t>
  </si>
  <si>
    <t>1512030</t>
  </si>
  <si>
    <t>Лікарсько-акушерська допомога  вагітним, породіллям та новонародженим</t>
  </si>
  <si>
    <t>1512080</t>
  </si>
  <si>
    <t>Забезпечення діяльності палаців i будинків культури, клубів, центрів дозвілля та iнших клубних закладів</t>
  </si>
  <si>
    <t>1516030</t>
  </si>
  <si>
    <t>1517310</t>
  </si>
  <si>
    <t>1517321</t>
  </si>
  <si>
    <t>7321</t>
  </si>
  <si>
    <t>Будівництво1 освітніх установ та закладів</t>
  </si>
  <si>
    <t>1517324</t>
  </si>
  <si>
    <t>7324</t>
  </si>
  <si>
    <t>Будівництво1 установ та закладів культури</t>
  </si>
  <si>
    <t>1517325</t>
  </si>
  <si>
    <t>7325</t>
  </si>
  <si>
    <t>Будівництво1 споруд, установ та закладів фізичної культури і спорту</t>
  </si>
  <si>
    <t>1517330</t>
  </si>
  <si>
    <t>7330</t>
  </si>
  <si>
    <t>Будівництво1 інших об'єктів соціальної та виробничої інфраструктури комунальної власності</t>
  </si>
  <si>
    <t>1517340</t>
  </si>
  <si>
    <t>Проектування, реставрація та охорона пам'яток архітектури</t>
  </si>
  <si>
    <t>1617330</t>
  </si>
  <si>
    <t>1917310</t>
  </si>
  <si>
    <t>8340</t>
  </si>
  <si>
    <t>0540</t>
  </si>
  <si>
    <t>Природоохоронні заходи за рахунок цільових фондів</t>
  </si>
  <si>
    <t>Утримання та фінансова підтримка спортивних споруд</t>
  </si>
  <si>
    <t>5041</t>
  </si>
  <si>
    <t>8010</t>
  </si>
  <si>
    <t>Програма розвитку міжнародного і транскордонного співробітництва м. Івано-Франківська на 2018-2020 роки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</si>
  <si>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послуг.</t>
  </si>
  <si>
    <t>Виплата державної соціальної допомогина дітей-сиріт та дітей, позбавлених батьківського піклування , у дитячих будинках сімейного типу та прийомних сімях ,  грошового забезпечення батькам-вихователям і при йомним батькам за надання соціальних послуг у дитячих будинках сімейного типу та прийомних сімях за принципом "гроші ходять за дитиною " та оплату послуг із здійснення патронату над дитиною та виплата соціальної допомоги на утримання дитини в сімї патронатного вихователя.</t>
  </si>
  <si>
    <t>Надання державної соціальної допомоги особам з інвалідністю  з дитинства та дітям з інвалідністю</t>
  </si>
  <si>
    <t>3042</t>
  </si>
  <si>
    <t>3047</t>
  </si>
  <si>
    <t>0813081</t>
  </si>
  <si>
    <t>3081</t>
  </si>
  <si>
    <t>0813083</t>
  </si>
  <si>
    <t>3083</t>
  </si>
  <si>
    <t>0813085</t>
  </si>
  <si>
    <t>3085</t>
  </si>
  <si>
    <t>0813180</t>
  </si>
  <si>
    <t>3180</t>
  </si>
  <si>
    <t>0813192</t>
  </si>
  <si>
    <t>3192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</si>
  <si>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</si>
  <si>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</si>
  <si>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</si>
  <si>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0813240</t>
  </si>
  <si>
    <t>3240</t>
  </si>
  <si>
    <t>0813242</t>
  </si>
  <si>
    <t>3242</t>
  </si>
  <si>
    <t>Інші заходи у сфері соціального захисту і соціального забезпечення</t>
  </si>
  <si>
    <t>в тому числі :</t>
  </si>
  <si>
    <t xml:space="preserve">інші видатки на соціальний захист населення </t>
  </si>
  <si>
    <t>0813160</t>
  </si>
  <si>
    <t>3160</t>
  </si>
  <si>
    <t>Надання соціальних гарантій фізичним особам , які надають соціальні послуги громадянам похилого віку, особам з інвалідністю , дітям з інвалідністю, хворим , які не здатні до самообслуговування і потребують сторонньої допомоги.</t>
  </si>
  <si>
    <t>Амбулаторно-поліклінічна допомога населенню, крім первинної медичної допомоги</t>
  </si>
  <si>
    <t>Утримання центрів фізичної культури і спорту осіб з інвалідністю і реабілітаційних шкіл</t>
  </si>
  <si>
    <t>Проведення навчально-тренувальних зборiв i змагань та заходiв зі спорту осіб з інвалідністю</t>
  </si>
  <si>
    <t>4081</t>
  </si>
  <si>
    <t>1014081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</si>
  <si>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</si>
  <si>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</si>
  <si>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</si>
  <si>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</si>
  <si>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</si>
  <si>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</si>
  <si>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</si>
  <si>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0617691</t>
  </si>
  <si>
    <t>0717691</t>
  </si>
  <si>
    <t>0817691</t>
  </si>
  <si>
    <t>0917691</t>
  </si>
  <si>
    <t>1217691</t>
  </si>
  <si>
    <t>Керівництво і управління у сфері забезпечення діяльності виконавчих органів міської ради</t>
  </si>
  <si>
    <t>0213210</t>
  </si>
  <si>
    <t>3210</t>
  </si>
  <si>
    <t>Заходи із запобігання та ліквідації надзвичайних ситуацій та наслідків стихійного лиха</t>
  </si>
  <si>
    <t>Керівництво і управління у сфері  транспорту та зв'язку</t>
  </si>
  <si>
    <t>0810180</t>
  </si>
  <si>
    <t>2717370</t>
  </si>
  <si>
    <t>7370</t>
  </si>
  <si>
    <t xml:space="preserve">Реалізація програм і заходів в галузі туризму та курортів </t>
  </si>
  <si>
    <t xml:space="preserve">Надання державної соціальної допомоги особам, які не мають права на пенсію , та особам з інвалідністю , державної соціальної допомоги на догляд. </t>
  </si>
  <si>
    <t xml:space="preserve">Надання допомоги по догляду за особами з інвалідністю І чи ІІ групи внаслідок психічного розладу. </t>
  </si>
  <si>
    <t>Надання щомісячної компенсаційної  виплати непрацюючій працездатній особі , яка доглядає за особою з інвалідністю 1 групи , а також за особою, яка досягла 80- річного віеку.</t>
  </si>
  <si>
    <t>Видатки на поховання учасників бойових дій тата осіб з інвалідністю внаслідок війни.</t>
  </si>
  <si>
    <t>Надання фінансової підтримки громадським організаціям ветеранів і осіб з інвалідністю, діяльність  яких має соціальну спрямованість</t>
  </si>
  <si>
    <t>Інші заклади та заходи:</t>
  </si>
  <si>
    <t>Відшкодування вартості лікарських засобів для лікування окремих захворювань</t>
  </si>
  <si>
    <t>0712146</t>
  </si>
  <si>
    <t xml:space="preserve"> 0763</t>
  </si>
  <si>
    <t>за рахунок субвенції з державного бюджету на відшкодування вартості лікарських засобів для лікування окремих захворювань</t>
  </si>
  <si>
    <t>у тому числі за рахунок медичної субвенції з Державного бюджету України(кошти отримані з обласного бюджету)</t>
  </si>
  <si>
    <t>Субвенція з обласного бюджету по програмі розвитку місцевого самоврядування в Івано-Франківській області на 2016-2020 роки</t>
  </si>
  <si>
    <t>Зміни, що вносяться</t>
  </si>
  <si>
    <t>споживання</t>
  </si>
  <si>
    <t>Уточнений план</t>
  </si>
  <si>
    <t>РАЗОМ  загальний і спеціальний фонди</t>
  </si>
  <si>
    <t>розвитку</t>
  </si>
  <si>
    <t>Субвенція обласному бюджету для редакції газети «Галичина» на створення проекту «Простір культури»</t>
  </si>
  <si>
    <t>Субвенція обласному бюджету для співфінансування проведення міжнародного мистецького фестивалю країн Карпатського регіону «Carpathian Space»</t>
  </si>
  <si>
    <t>0712113</t>
  </si>
  <si>
    <t>2113</t>
  </si>
  <si>
    <t>2146</t>
  </si>
  <si>
    <t xml:space="preserve">Інші програми та заходи у сфері охорони здоров’я </t>
  </si>
  <si>
    <t>0712152</t>
  </si>
  <si>
    <t>2152</t>
  </si>
  <si>
    <t xml:space="preserve">Первинна медична допомога населенню, що надається амбулаторно-поліклінічними закладами (відділеннями)                      </t>
  </si>
  <si>
    <t xml:space="preserve">субвенція з с. Вовчинець </t>
  </si>
  <si>
    <t xml:space="preserve">субвенція з с. Крихівці </t>
  </si>
  <si>
    <t>субвенція з с. Угорники</t>
  </si>
  <si>
    <t>субвенція з с. Хриплин</t>
  </si>
  <si>
    <t xml:space="preserve">субвенція з с. Микитинці </t>
  </si>
  <si>
    <t>Муніципальна програма "Духовне життя"</t>
  </si>
  <si>
    <t>Підпрограма "Доступ громадян до публічної інформації органів місцевого самоврядування м.Івано-Франківська"</t>
  </si>
  <si>
    <t>Субвенція з с. Вовчинець на утримання ГФ "Штаб"</t>
  </si>
  <si>
    <t>Субвенція з с. Микитинці на утримання відділу охорони публічного порядку КП "Муніципальна варта"</t>
  </si>
  <si>
    <t>Субвенція з с. Крихівці на утримання ГФ "Штаб"</t>
  </si>
  <si>
    <t>Муніципальна програма "Духовне життя " на 2018-2020 роки</t>
  </si>
  <si>
    <t>3719800</t>
  </si>
  <si>
    <t>9800</t>
  </si>
  <si>
    <t>у т.ч. на виконання Програми забезпечення виконання рішень суду щодо безспірного списання коштів з розпорядника бюджетних коштів департаменту соціальної політики виконкому міської ради на 2017-2020 роки</t>
  </si>
  <si>
    <t>- видатки на проведення святкувань (Міська цільова програма організації та відзначення в місті Івано-Франківську загальнодержавних, міських свят, державних пам'ятних дат, релігійних та історичних подій на 2018-2020 роки)</t>
  </si>
  <si>
    <t>Субвенція з місцевого бюджету державному бюджету на виконання програм соціально-економічного розвитку регіонів (субвенція з с. Вовчинець по Комплексній програмі профілактики злочинності для прокуратури міста)</t>
  </si>
  <si>
    <t>0611161</t>
  </si>
  <si>
    <t>0611162</t>
  </si>
  <si>
    <t>1161</t>
  </si>
  <si>
    <t>1162</t>
  </si>
  <si>
    <t xml:space="preserve">Забезпечення діяльності інших закладів у сфері освіти </t>
  </si>
  <si>
    <t>Іншi програми та заходи у сфері освіти</t>
  </si>
  <si>
    <t>1518312</t>
  </si>
  <si>
    <t>8312</t>
  </si>
  <si>
    <t>Утилізація відходів</t>
  </si>
  <si>
    <t>0512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</si>
  <si>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</si>
  <si>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</si>
  <si>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</si>
  <si>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1517363</t>
  </si>
  <si>
    <t>0216086</t>
  </si>
  <si>
    <t>6086</t>
  </si>
  <si>
    <t>Інша діяльність щодо забезпечення житлом громадян</t>
  </si>
  <si>
    <t>1517370</t>
  </si>
  <si>
    <t>0618311</t>
  </si>
  <si>
    <t>7693</t>
  </si>
  <si>
    <t>1217363</t>
  </si>
  <si>
    <t>7322</t>
  </si>
  <si>
    <t>1517322</t>
  </si>
  <si>
    <t>Будівництво1 медичних установ та закладів</t>
  </si>
  <si>
    <t>2710180</t>
  </si>
  <si>
    <t>Зміни до бюджетних призначень головних розпорядників коштів міського бюджету міста Івано- Франківська на 2018 рік</t>
  </si>
  <si>
    <t xml:space="preserve">                                       до рішення сесії____міської ради</t>
  </si>
  <si>
    <t>О.Савчук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</si>
  <si>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</si>
  <si>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у тому числі </t>
  </si>
  <si>
    <t>3084</t>
  </si>
  <si>
    <t>Надання тимчасовоі державноі соціальноі  допомоги непрацюючій особі , яка досягла загального пенсійного віку , але не набула права на пенсійну виплату</t>
  </si>
  <si>
    <t>1610180</t>
  </si>
  <si>
    <t>субвенція з с. Крихівці</t>
  </si>
  <si>
    <t>0813084</t>
  </si>
  <si>
    <t xml:space="preserve">у тому числі за рахунок субвенції з обласного бюджету </t>
  </si>
  <si>
    <t>в т. числі Муніципальна програма "Духовне життя"</t>
  </si>
  <si>
    <t>1013140</t>
  </si>
  <si>
    <t>1010180</t>
  </si>
  <si>
    <t>1113140</t>
  </si>
  <si>
    <t>КП"Простір Інноваційних Креацій "Палац" (Потоцьких)</t>
  </si>
  <si>
    <t>у тому числі 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</si>
  <si>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обласному бюджету на капітальний ремонт харчоблоку та їдальні Івано-Франківської загальноосвітньої школи І-ІІІ ступенів №25 Івано-Франківської міської ради Івано-Франківської області</t>
  </si>
  <si>
    <t>Субвенція Івано-Франківському обласному бюджету для співфінансування видатків на закупівлю сучасних меблів та комп’ютерного обладнання на забезпечення якісної, сучасної та доступної загальної середньої освіти «Нова українська школа»</t>
  </si>
  <si>
    <t>Програма поліпшення сервісу обслуговування платників податків та збільшення надходжень до місцевого бюджету на 2015-2018 роки</t>
  </si>
  <si>
    <t>1511070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</si>
  <si>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</si>
  <si>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0717363</t>
  </si>
  <si>
    <t>0813221</t>
  </si>
  <si>
    <t>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</si>
  <si>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</si>
  <si>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1218312</t>
  </si>
  <si>
    <t>Комплексна програма запобігання виникненню надзвичайних ситуації природного і техногенного характеру та підвищення рівня готовності аварійно-рятувальної служби м.Івано-Франківська  на 2016-2020 роки</t>
  </si>
  <si>
    <t>3719510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</si>
  <si>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</si>
  <si>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9510</t>
  </si>
  <si>
    <t>Субвенція с. Вовчинець на здійснення заходів щодо соціально-економічного розвитку окремих територій</t>
  </si>
  <si>
    <t>Субвенція с. Крихівці на здійснення заходів щодо соціально-економічного розвитку окремих територій</t>
  </si>
  <si>
    <t>Субвенція з обласного бюджету для Івано-Франківського обласного клінічного центру паліативної допомоги</t>
  </si>
  <si>
    <t>Програма "Партиципаторне бюджетування (бюджет участі) у м. Івано-Франківську"</t>
  </si>
  <si>
    <t xml:space="preserve">у тому числі субвенція з обласного бюджету бюджету </t>
  </si>
  <si>
    <t xml:space="preserve"> за рахунок субвенції з сільського бюджету с. Микитинці</t>
  </si>
  <si>
    <t>у т.ч</t>
  </si>
  <si>
    <t>Секретар міської ради</t>
  </si>
  <si>
    <t>субвенція з с.Угорники</t>
  </si>
  <si>
    <t>0217693</t>
  </si>
  <si>
    <t>Субвенція з місцевого бюджету державному бюджету на виконання програм соціально-економічного розвитку регіонів (по Комплексній програмі профілактики злочинності для Івано-Франківської установи виконання покарань (№ 12))</t>
  </si>
  <si>
    <t>Субвенція обласному бюджету для  Івано-Франківського Геріатричного пансіонату</t>
  </si>
  <si>
    <t>Субвенція обласному бюджету для  Івано-Франківського обласного наркологічного диспансеру</t>
  </si>
  <si>
    <t>Субвенція з місцевого бюджету державному бюджету на виконання програм соціально-економічного розвитку регіонів (для Івано-Франківського міського відділу управління Державної міграційної служби України в Івано-Франківській області на проведення поточного ремонту приміщення по вул. А.Гнатюка, 29 м. Івано-Франквськ та придбання матеріалів (дверні полотна))</t>
  </si>
  <si>
    <t>1617670</t>
  </si>
  <si>
    <t>Субвенція обласному бюджету на придбання проектора для Народного дому «Просвіта» на вул. Грушевського, 18 в м. Івано-Франківську</t>
  </si>
  <si>
    <t>0813223</t>
  </si>
  <si>
    <t>3223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</si>
  <si>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захисту", та які потребують поліпшення житлових умов</t>
  </si>
  <si>
    <t>0913140</t>
  </si>
  <si>
    <t xml:space="preserve">                                             від__________________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</si>
</sst>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0000"/>
    <numFmt numFmtId="165" formatCode="General_)"/>
    <numFmt numFmtId="166" formatCode="0.0"/>
    <numFmt numFmtId="167" formatCode="#,##0.0"/>
    <numFmt numFmtId="168" formatCode="0_ ;[Red]\-0\ "/>
    <numFmt numFmtId="169" formatCode="#,##0.000"/>
  </numFmts>
  <fonts count="21" x14ac:knownFonts="1">
    <font>
      <sz val="8"/>
      <name val="Arial"/>
    </font>
    <font>
      <sz val="8"/>
      <name val="Arial"/>
      <family val="2"/>
    </font>
    <font>
      <sz val="12"/>
      <name val="Courier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vertAlign val="superscript"/>
      <sz val="8"/>
      <name val="Times New Roman"/>
      <family val="1"/>
      <charset val="204"/>
    </font>
    <font>
      <b/>
      <strike/>
      <vertAlign val="superscript"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165" fontId="2" fillId="0" borderId="0"/>
    <xf numFmtId="0" fontId="1" fillId="0" borderId="0"/>
    <xf numFmtId="0" fontId="8" fillId="0" borderId="0"/>
  </cellStyleXfs>
  <cellXfs count="170">
    <xf numFmtId="0" fontId="0" fillId="0" borderId="0" xfId="0"/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/>
    </xf>
    <xf numFmtId="49" fontId="11" fillId="2" borderId="0" xfId="0" applyNumberFormat="1" applyFont="1" applyFill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/>
    </xf>
    <xf numFmtId="164" fontId="7" fillId="2" borderId="2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/>
    </xf>
    <xf numFmtId="49" fontId="9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3" fontId="9" fillId="2" borderId="0" xfId="0" applyNumberFormat="1" applyFont="1" applyFill="1" applyAlignment="1">
      <alignment horizontal="left"/>
    </xf>
    <xf numFmtId="165" fontId="9" fillId="2" borderId="0" xfId="0" applyNumberFormat="1" applyFont="1" applyFill="1" applyAlignment="1">
      <alignment horizontal="left"/>
    </xf>
    <xf numFmtId="168" fontId="9" fillId="2" borderId="0" xfId="0" applyNumberFormat="1" applyFont="1" applyFill="1" applyAlignment="1">
      <alignment horizontal="left"/>
    </xf>
    <xf numFmtId="167" fontId="7" fillId="2" borderId="0" xfId="0" applyNumberFormat="1" applyFont="1" applyFill="1" applyAlignment="1">
      <alignment horizontal="left"/>
    </xf>
    <xf numFmtId="0" fontId="14" fillId="2" borderId="0" xfId="0" applyFont="1" applyFill="1" applyAlignment="1">
      <alignment horizontal="left"/>
    </xf>
    <xf numFmtId="0" fontId="9" fillId="2" borderId="0" xfId="0" applyFont="1" applyFill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 wrapText="1" shrinkToFit="1"/>
    </xf>
    <xf numFmtId="1" fontId="9" fillId="2" borderId="2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 wrapText="1" shrinkToFit="1"/>
    </xf>
    <xf numFmtId="0" fontId="9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49" fontId="9" fillId="2" borderId="4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top"/>
    </xf>
    <xf numFmtId="0" fontId="11" fillId="2" borderId="0" xfId="0" applyFont="1" applyFill="1"/>
    <xf numFmtId="0" fontId="11" fillId="3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 shrinkToFit="1"/>
    </xf>
    <xf numFmtId="49" fontId="16" fillId="0" borderId="3" xfId="0" applyNumberFormat="1" applyFont="1" applyFill="1" applyBorder="1" applyAlignment="1">
      <alignment horizontal="center" vertical="center" wrapText="1" shrinkToFit="1"/>
    </xf>
    <xf numFmtId="49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17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3" fontId="7" fillId="0" borderId="19" xfId="0" applyNumberFormat="1" applyFont="1" applyFill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0" borderId="21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left" vertical="center" wrapText="1"/>
    </xf>
    <xf numFmtId="167" fontId="9" fillId="0" borderId="18" xfId="0" applyNumberFormat="1" applyFont="1" applyFill="1" applyBorder="1" applyAlignment="1">
      <alignment horizontal="left" vertical="center" wrapText="1"/>
    </xf>
    <xf numFmtId="1" fontId="9" fillId="0" borderId="20" xfId="0" applyNumberFormat="1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left" vertical="center" wrapText="1"/>
    </xf>
    <xf numFmtId="49" fontId="16" fillId="0" borderId="18" xfId="0" applyNumberFormat="1" applyFont="1" applyFill="1" applyBorder="1" applyAlignment="1">
      <alignment horizontal="left" vertical="center" wrapText="1"/>
    </xf>
    <xf numFmtId="3" fontId="14" fillId="0" borderId="21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left" vertical="center" wrapText="1"/>
    </xf>
    <xf numFmtId="3" fontId="7" fillId="0" borderId="20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vertical="center" wrapText="1"/>
    </xf>
    <xf numFmtId="165" fontId="9" fillId="0" borderId="18" xfId="2" applyFont="1" applyFill="1" applyBorder="1" applyAlignment="1" applyProtection="1">
      <alignment horizontal="left" vertical="center" wrapText="1"/>
    </xf>
    <xf numFmtId="0" fontId="16" fillId="0" borderId="18" xfId="0" applyFont="1" applyFill="1" applyBorder="1" applyAlignment="1">
      <alignment vertical="top" wrapText="1"/>
    </xf>
    <xf numFmtId="49" fontId="16" fillId="0" borderId="18" xfId="0" applyNumberFormat="1" applyFont="1" applyFill="1" applyBorder="1" applyAlignment="1">
      <alignment horizontal="left" vertical="center" wrapText="1" shrinkToFit="1"/>
    </xf>
    <xf numFmtId="3" fontId="19" fillId="0" borderId="2" xfId="0" applyNumberFormat="1" applyFont="1" applyFill="1" applyBorder="1" applyAlignment="1">
      <alignment horizontal="center" vertical="center"/>
    </xf>
    <xf numFmtId="3" fontId="19" fillId="0" borderId="19" xfId="0" applyNumberFormat="1" applyFont="1" applyFill="1" applyBorder="1" applyAlignment="1">
      <alignment horizontal="center" vertical="center"/>
    </xf>
    <xf numFmtId="167" fontId="7" fillId="0" borderId="3" xfId="0" applyNumberFormat="1" applyFont="1" applyFill="1" applyBorder="1" applyAlignment="1">
      <alignment horizontal="center" vertical="center"/>
    </xf>
    <xf numFmtId="167" fontId="7" fillId="0" borderId="19" xfId="0" applyNumberFormat="1" applyFont="1" applyFill="1" applyBorder="1" applyAlignment="1">
      <alignment horizontal="center" vertical="center"/>
    </xf>
    <xf numFmtId="167" fontId="7" fillId="0" borderId="20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167" fontId="3" fillId="0" borderId="3" xfId="0" applyNumberFormat="1" applyFont="1" applyFill="1" applyBorder="1" applyAlignment="1">
      <alignment horizontal="center" vertical="center"/>
    </xf>
    <xf numFmtId="167" fontId="3" fillId="0" borderId="19" xfId="0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vertical="center"/>
    </xf>
    <xf numFmtId="167" fontId="9" fillId="0" borderId="3" xfId="0" applyNumberFormat="1" applyFont="1" applyFill="1" applyBorder="1" applyAlignment="1">
      <alignment horizontal="center" vertical="center"/>
    </xf>
    <xf numFmtId="167" fontId="9" fillId="0" borderId="19" xfId="0" applyNumberFormat="1" applyFont="1" applyFill="1" applyBorder="1" applyAlignment="1">
      <alignment horizontal="center" vertical="center"/>
    </xf>
    <xf numFmtId="167" fontId="9" fillId="0" borderId="20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wrapText="1"/>
    </xf>
    <xf numFmtId="49" fontId="16" fillId="0" borderId="3" xfId="1" applyNumberFormat="1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vertical="center" wrapText="1"/>
    </xf>
    <xf numFmtId="1" fontId="9" fillId="0" borderId="3" xfId="0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left" wrapText="1"/>
    </xf>
    <xf numFmtId="49" fontId="9" fillId="0" borderId="3" xfId="0" applyNumberFormat="1" applyFont="1" applyFill="1" applyBorder="1" applyAlignment="1">
      <alignment horizontal="center" vertical="center" wrapText="1" shrinkToFit="1"/>
    </xf>
    <xf numFmtId="49" fontId="9" fillId="0" borderId="18" xfId="0" applyNumberFormat="1" applyFont="1" applyFill="1" applyBorder="1" applyAlignment="1">
      <alignment horizontal="left" vertical="center" wrapText="1" shrinkToFit="1"/>
    </xf>
    <xf numFmtId="167" fontId="9" fillId="0" borderId="2" xfId="0" applyNumberFormat="1" applyFont="1" applyFill="1" applyBorder="1" applyAlignment="1">
      <alignment horizontal="center" vertical="center"/>
    </xf>
    <xf numFmtId="1" fontId="9" fillId="0" borderId="19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8" xfId="3" applyNumberFormat="1" applyFont="1" applyFill="1" applyBorder="1" applyAlignment="1">
      <alignment horizontal="left" vertical="center" wrapText="1"/>
    </xf>
    <xf numFmtId="3" fontId="17" fillId="0" borderId="3" xfId="0" applyNumberFormat="1" applyFont="1" applyFill="1" applyBorder="1" applyAlignment="1">
      <alignment horizontal="center" vertical="center"/>
    </xf>
    <xf numFmtId="3" fontId="17" fillId="0" borderId="19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left" vertical="center" wrapText="1" shrinkToFit="1"/>
    </xf>
    <xf numFmtId="49" fontId="3" fillId="0" borderId="3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center"/>
    </xf>
    <xf numFmtId="1" fontId="3" fillId="0" borderId="20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166" fontId="9" fillId="0" borderId="18" xfId="4" applyNumberFormat="1" applyFont="1" applyFill="1" applyBorder="1" applyAlignment="1">
      <alignment horizontal="left" vertical="center" wrapText="1"/>
    </xf>
    <xf numFmtId="0" fontId="9" fillId="0" borderId="18" xfId="0" applyNumberFormat="1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center" vertical="center"/>
    </xf>
    <xf numFmtId="3" fontId="9" fillId="0" borderId="6" xfId="0" applyNumberFormat="1" applyFont="1" applyFill="1" applyBorder="1" applyAlignment="1">
      <alignment horizontal="center" vertical="center"/>
    </xf>
    <xf numFmtId="3" fontId="9" fillId="0" borderId="22" xfId="0" applyNumberFormat="1" applyFont="1" applyFill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3" fontId="9" fillId="0" borderId="7" xfId="0" applyNumberFormat="1" applyFont="1" applyFill="1" applyBorder="1" applyAlignment="1">
      <alignment horizontal="center" vertical="center"/>
    </xf>
    <xf numFmtId="3" fontId="9" fillId="0" borderId="8" xfId="0" applyNumberFormat="1" applyFont="1" applyFill="1" applyBorder="1" applyAlignment="1">
      <alignment horizontal="center" vertical="center"/>
    </xf>
    <xf numFmtId="3" fontId="9" fillId="0" borderId="9" xfId="0" applyNumberFormat="1" applyFont="1" applyFill="1" applyBorder="1" applyAlignment="1">
      <alignment horizontal="center" vertical="center"/>
    </xf>
    <xf numFmtId="3" fontId="9" fillId="0" borderId="24" xfId="0" applyNumberFormat="1" applyFont="1" applyFill="1" applyBorder="1" applyAlignment="1">
      <alignment horizontal="center" vertical="center"/>
    </xf>
    <xf numFmtId="3" fontId="9" fillId="0" borderId="8" xfId="0" applyNumberFormat="1" applyFont="1" applyFill="1" applyBorder="1" applyAlignment="1">
      <alignment horizontal="center" vertical="top"/>
    </xf>
    <xf numFmtId="3" fontId="7" fillId="0" borderId="25" xfId="0" applyNumberFormat="1" applyFont="1" applyFill="1" applyBorder="1" applyAlignment="1">
      <alignment horizontal="center" vertical="center"/>
    </xf>
    <xf numFmtId="3" fontId="7" fillId="0" borderId="26" xfId="0" applyNumberFormat="1" applyFont="1" applyFill="1" applyBorder="1" applyAlignment="1">
      <alignment horizontal="center" vertical="center"/>
    </xf>
    <xf numFmtId="3" fontId="7" fillId="0" borderId="27" xfId="0" applyNumberFormat="1" applyFont="1" applyFill="1" applyBorder="1" applyAlignment="1">
      <alignment horizontal="center" vertical="center"/>
    </xf>
    <xf numFmtId="3" fontId="7" fillId="0" borderId="28" xfId="0" applyNumberFormat="1" applyFont="1" applyFill="1" applyBorder="1" applyAlignment="1">
      <alignment horizontal="center" vertical="center"/>
    </xf>
    <xf numFmtId="3" fontId="7" fillId="0" borderId="29" xfId="0" applyNumberFormat="1" applyFont="1" applyFill="1" applyBorder="1" applyAlignment="1">
      <alignment horizontal="center" vertical="center"/>
    </xf>
    <xf numFmtId="3" fontId="7" fillId="0" borderId="30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Alignment="1">
      <alignment horizontal="center" vertical="center"/>
    </xf>
    <xf numFmtId="169" fontId="18" fillId="0" borderId="0" xfId="0" applyNumberFormat="1" applyFont="1" applyFill="1" applyAlignment="1">
      <alignment horizontal="center" vertical="center"/>
    </xf>
    <xf numFmtId="1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left" vertical="top"/>
    </xf>
    <xf numFmtId="4" fontId="11" fillId="0" borderId="0" xfId="0" applyNumberFormat="1" applyFont="1" applyFill="1" applyAlignment="1">
      <alignment horizontal="center" vertical="center"/>
    </xf>
    <xf numFmtId="0" fontId="17" fillId="0" borderId="18" xfId="0" applyFont="1" applyFill="1" applyBorder="1" applyAlignment="1">
      <alignment horizontal="left" vertical="center" wrapText="1"/>
    </xf>
    <xf numFmtId="0" fontId="17" fillId="0" borderId="31" xfId="0" applyFont="1" applyFill="1" applyBorder="1" applyAlignment="1">
      <alignment horizontal="left" vertical="center" wrapText="1"/>
    </xf>
    <xf numFmtId="3" fontId="3" fillId="0" borderId="0" xfId="0" applyNumberFormat="1" applyFont="1" applyFill="1" applyAlignment="1">
      <alignment horizontal="center" vertical="center"/>
    </xf>
    <xf numFmtId="0" fontId="11" fillId="0" borderId="18" xfId="0" applyNumberFormat="1" applyFont="1" applyFill="1" applyBorder="1" applyAlignment="1">
      <alignment horizontal="left" vertical="center" wrapText="1" shrinkToFit="1"/>
    </xf>
    <xf numFmtId="0" fontId="9" fillId="0" borderId="3" xfId="0" applyNumberFormat="1" applyFont="1" applyFill="1" applyBorder="1" applyAlignment="1">
      <alignment horizontal="left" vertical="center" wrapText="1" shrinkToFit="1"/>
    </xf>
    <xf numFmtId="0" fontId="7" fillId="0" borderId="28" xfId="0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right" vertical="center"/>
    </xf>
    <xf numFmtId="0" fontId="7" fillId="0" borderId="30" xfId="0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67" fontId="4" fillId="0" borderId="3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49" fontId="4" fillId="0" borderId="8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9" xfId="0" applyNumberFormat="1" applyFont="1" applyFill="1" applyBorder="1" applyAlignment="1" applyProtection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 wrapText="1"/>
    </xf>
  </cellXfs>
  <cellStyles count="5">
    <cellStyle name="Обычный" xfId="0" builtinId="0"/>
    <cellStyle name="Обычный 3" xfId="1"/>
    <cellStyle name="Обычный_osvita" xfId="2"/>
    <cellStyle name="Обычный_TDSheet" xfId="3"/>
    <cellStyle name="Стиль 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S333"/>
  <sheetViews>
    <sheetView tabSelected="1" zoomScale="90" zoomScaleNormal="90" zoomScaleSheetLayoutView="100" workbookViewId="0">
      <pane xSplit="4" ySplit="8" topLeftCell="G142" activePane="bottomRight" state="frozen"/>
      <selection pane="topRight" activeCell="E1" sqref="E1"/>
      <selection pane="bottomLeft" activeCell="A9" sqref="A9"/>
      <selection pane="bottomRight" activeCell="D143" sqref="D143"/>
    </sheetView>
  </sheetViews>
  <sheetFormatPr defaultColWidth="10.1640625" defaultRowHeight="11.45" customHeight="1" x14ac:dyDescent="0.2"/>
  <cols>
    <col min="1" max="1" width="12.5" style="1" customWidth="1"/>
    <col min="2" max="2" width="11.83203125" style="3" customWidth="1"/>
    <col min="3" max="3" width="12.83203125" style="3" customWidth="1"/>
    <col min="4" max="4" width="50.33203125" style="27" customWidth="1"/>
    <col min="5" max="5" width="18.6640625" style="29" customWidth="1"/>
    <col min="6" max="6" width="16.5" style="1" customWidth="1"/>
    <col min="7" max="7" width="16.1640625" style="1" customWidth="1"/>
    <col min="8" max="8" width="19.6640625" style="1" customWidth="1"/>
    <col min="9" max="9" width="15.83203125" style="29" customWidth="1"/>
    <col min="10" max="10" width="15.83203125" style="1" customWidth="1"/>
    <col min="11" max="11" width="12" style="1" customWidth="1"/>
    <col min="12" max="12" width="15.5" style="1" customWidth="1"/>
    <col min="13" max="13" width="15.83203125" style="1" customWidth="1"/>
    <col min="14" max="14" width="15.5" style="1" customWidth="1"/>
    <col min="15" max="15" width="17.1640625" style="1" customWidth="1"/>
    <col min="16" max="16" width="15.83203125" style="29" customWidth="1"/>
    <col min="17" max="18" width="16.1640625" style="1" customWidth="1"/>
    <col min="19" max="19" width="19.1640625" style="28" customWidth="1"/>
    <col min="20" max="16384" width="10.1640625" style="28"/>
  </cols>
  <sheetData>
    <row r="1" spans="1:18" s="2" customFormat="1" ht="39.6" customHeight="1" x14ac:dyDescent="0.2">
      <c r="A1" s="1"/>
      <c r="B1" s="158" t="s">
        <v>515</v>
      </c>
      <c r="C1" s="158"/>
      <c r="D1" s="158"/>
      <c r="E1" s="158"/>
      <c r="F1" s="158"/>
      <c r="G1" s="158"/>
      <c r="H1" s="158"/>
      <c r="I1" s="158"/>
      <c r="J1" s="158"/>
      <c r="K1" s="158"/>
      <c r="L1" s="1"/>
      <c r="M1" s="159" t="s">
        <v>45</v>
      </c>
      <c r="N1" s="159"/>
      <c r="O1" s="159"/>
      <c r="P1" s="159"/>
      <c r="Q1" s="1"/>
      <c r="R1" s="1"/>
    </row>
    <row r="2" spans="1:18" s="2" customFormat="1" ht="18.95" customHeight="1" x14ac:dyDescent="0.2">
      <c r="A2" s="1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"/>
      <c r="M2" s="159" t="s">
        <v>516</v>
      </c>
      <c r="N2" s="159"/>
      <c r="O2" s="159"/>
      <c r="P2" s="159"/>
      <c r="Q2" s="1"/>
      <c r="R2" s="1"/>
    </row>
    <row r="3" spans="1:18" s="2" customFormat="1" ht="11.1" customHeight="1" x14ac:dyDescent="0.2">
      <c r="A3" s="1"/>
      <c r="B3" s="32"/>
      <c r="C3" s="32"/>
      <c r="D3" s="33"/>
      <c r="E3" s="34"/>
      <c r="F3" s="34"/>
      <c r="G3" s="34"/>
      <c r="H3" s="34"/>
      <c r="I3" s="34"/>
      <c r="J3" s="34"/>
      <c r="K3" s="34"/>
      <c r="L3" s="34"/>
      <c r="M3" s="34" t="s">
        <v>566</v>
      </c>
      <c r="N3" s="34"/>
      <c r="O3" s="34"/>
      <c r="P3" s="34" t="s">
        <v>42</v>
      </c>
      <c r="Q3" s="34"/>
      <c r="R3" s="34"/>
    </row>
    <row r="4" spans="1:18" s="2" customFormat="1" ht="11.1" customHeight="1" thickBot="1" x14ac:dyDescent="0.25">
      <c r="A4" s="1"/>
      <c r="B4" s="32"/>
      <c r="C4" s="32"/>
      <c r="D4" s="33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 t="s">
        <v>0</v>
      </c>
      <c r="Q4" s="34"/>
      <c r="R4" s="34"/>
    </row>
    <row r="5" spans="1:18" s="2" customFormat="1" ht="14.25" customHeight="1" x14ac:dyDescent="0.2">
      <c r="A5" s="161" t="s">
        <v>1</v>
      </c>
      <c r="B5" s="164" t="s">
        <v>55</v>
      </c>
      <c r="C5" s="164" t="s">
        <v>56</v>
      </c>
      <c r="D5" s="167" t="s">
        <v>51</v>
      </c>
      <c r="E5" s="154" t="s">
        <v>2</v>
      </c>
      <c r="F5" s="155"/>
      <c r="G5" s="155"/>
      <c r="H5" s="156"/>
      <c r="I5" s="154" t="s">
        <v>3</v>
      </c>
      <c r="J5" s="155"/>
      <c r="K5" s="155"/>
      <c r="L5" s="155"/>
      <c r="M5" s="155"/>
      <c r="N5" s="155"/>
      <c r="O5" s="156"/>
      <c r="P5" s="154" t="s">
        <v>463</v>
      </c>
      <c r="Q5" s="155"/>
      <c r="R5" s="156"/>
    </row>
    <row r="6" spans="1:18" s="2" customFormat="1" ht="11.1" customHeight="1" x14ac:dyDescent="0.2">
      <c r="A6" s="162"/>
      <c r="B6" s="165"/>
      <c r="C6" s="165"/>
      <c r="D6" s="168"/>
      <c r="E6" s="151" t="s">
        <v>462</v>
      </c>
      <c r="F6" s="153" t="s">
        <v>460</v>
      </c>
      <c r="G6" s="153"/>
      <c r="H6" s="157" t="s">
        <v>462</v>
      </c>
      <c r="I6" s="151" t="s">
        <v>462</v>
      </c>
      <c r="J6" s="149" t="s">
        <v>460</v>
      </c>
      <c r="K6" s="149"/>
      <c r="L6" s="149"/>
      <c r="M6" s="149"/>
      <c r="N6" s="149"/>
      <c r="O6" s="157" t="s">
        <v>462</v>
      </c>
      <c r="P6" s="151"/>
      <c r="Q6" s="149"/>
      <c r="R6" s="157"/>
    </row>
    <row r="7" spans="1:18" s="2" customFormat="1" ht="11.1" customHeight="1" x14ac:dyDescent="0.2">
      <c r="A7" s="162"/>
      <c r="B7" s="165"/>
      <c r="C7" s="165"/>
      <c r="D7" s="168"/>
      <c r="E7" s="151"/>
      <c r="F7" s="149" t="s">
        <v>4</v>
      </c>
      <c r="G7" s="149" t="s">
        <v>461</v>
      </c>
      <c r="H7" s="157"/>
      <c r="I7" s="151"/>
      <c r="J7" s="149" t="s">
        <v>4</v>
      </c>
      <c r="K7" s="149" t="s">
        <v>461</v>
      </c>
      <c r="L7" s="149" t="s">
        <v>464</v>
      </c>
      <c r="M7" s="149" t="s">
        <v>5</v>
      </c>
      <c r="N7" s="149"/>
      <c r="O7" s="157"/>
      <c r="P7" s="151"/>
      <c r="Q7" s="149"/>
      <c r="R7" s="157"/>
    </row>
    <row r="8" spans="1:18" s="2" customFormat="1" ht="133.9" customHeight="1" thickBot="1" x14ac:dyDescent="0.25">
      <c r="A8" s="163"/>
      <c r="B8" s="166"/>
      <c r="C8" s="166"/>
      <c r="D8" s="169"/>
      <c r="E8" s="152"/>
      <c r="F8" s="150"/>
      <c r="G8" s="150"/>
      <c r="H8" s="160"/>
      <c r="I8" s="152"/>
      <c r="J8" s="150"/>
      <c r="K8" s="150"/>
      <c r="L8" s="150"/>
      <c r="M8" s="35" t="s">
        <v>6</v>
      </c>
      <c r="N8" s="35" t="s">
        <v>7</v>
      </c>
      <c r="O8" s="160"/>
      <c r="P8" s="36" t="s">
        <v>462</v>
      </c>
      <c r="Q8" s="37" t="s">
        <v>460</v>
      </c>
      <c r="R8" s="38" t="s">
        <v>462</v>
      </c>
    </row>
    <row r="9" spans="1:18" s="5" customFormat="1" ht="23.25" customHeight="1" x14ac:dyDescent="0.2">
      <c r="A9" s="4">
        <v>200000</v>
      </c>
      <c r="B9" s="39"/>
      <c r="C9" s="39"/>
      <c r="D9" s="40" t="s">
        <v>8</v>
      </c>
      <c r="E9" s="41">
        <v>65445485</v>
      </c>
      <c r="F9" s="42">
        <f>F11+F32+F12+F23+F26+F27+F28+F33+F42+F45</f>
        <v>2802850</v>
      </c>
      <c r="G9" s="42">
        <f>G11+G32+G12+G23+G26+G27+G28+G33+G42+G45</f>
        <v>2802850</v>
      </c>
      <c r="H9" s="43">
        <f>H11+H32+H12+H23+H26+H27+H28+H33+H42+H45</f>
        <v>68333335</v>
      </c>
      <c r="I9" s="44">
        <v>19587709</v>
      </c>
      <c r="J9" s="41">
        <f t="shared" ref="J9:O9" si="0">J11+J32+J12+J23+J25+J26+J28+J33+J42+J24+J45</f>
        <v>-9265</v>
      </c>
      <c r="K9" s="42">
        <f t="shared" si="0"/>
        <v>0</v>
      </c>
      <c r="L9" s="42">
        <f t="shared" si="0"/>
        <v>-9265</v>
      </c>
      <c r="M9" s="42">
        <f t="shared" si="0"/>
        <v>-9265</v>
      </c>
      <c r="N9" s="42">
        <f>N11+N32+N12+N23+N25+N26+N28+N33+N42+N24+N45</f>
        <v>14747593</v>
      </c>
      <c r="O9" s="43">
        <f t="shared" si="0"/>
        <v>19578444</v>
      </c>
      <c r="P9" s="45">
        <f>E9+I9</f>
        <v>85033194</v>
      </c>
      <c r="Q9" s="46">
        <f>F9+J9</f>
        <v>2793585</v>
      </c>
      <c r="R9" s="47">
        <f>H9+O9</f>
        <v>87911779</v>
      </c>
    </row>
    <row r="10" spans="1:18" s="5" customFormat="1" ht="23.25" customHeight="1" x14ac:dyDescent="0.2">
      <c r="A10" s="6">
        <v>210000</v>
      </c>
      <c r="B10" s="48"/>
      <c r="C10" s="48"/>
      <c r="D10" s="49" t="s">
        <v>8</v>
      </c>
      <c r="E10" s="50"/>
      <c r="F10" s="51"/>
      <c r="G10" s="51"/>
      <c r="H10" s="52"/>
      <c r="I10" s="53"/>
      <c r="J10" s="54"/>
      <c r="K10" s="51"/>
      <c r="L10" s="51"/>
      <c r="M10" s="51"/>
      <c r="N10" s="51"/>
      <c r="O10" s="55"/>
      <c r="P10" s="56"/>
      <c r="Q10" s="57"/>
      <c r="R10" s="58"/>
    </row>
    <row r="11" spans="1:18" s="9" customFormat="1" ht="28.5" customHeight="1" x14ac:dyDescent="0.2">
      <c r="A11" s="7" t="s">
        <v>342</v>
      </c>
      <c r="B11" s="59" t="s">
        <v>121</v>
      </c>
      <c r="C11" s="59" t="s">
        <v>66</v>
      </c>
      <c r="D11" s="60" t="s">
        <v>439</v>
      </c>
      <c r="E11" s="61">
        <v>45128658</v>
      </c>
      <c r="F11" s="62">
        <f>G11</f>
        <v>620700</v>
      </c>
      <c r="G11" s="62">
        <f>20000+284700+138000+30000+148000</f>
        <v>620700</v>
      </c>
      <c r="H11" s="63">
        <f>E11+F11</f>
        <v>45749358</v>
      </c>
      <c r="I11" s="64">
        <v>1011836</v>
      </c>
      <c r="J11" s="61">
        <f>K11+L11</f>
        <v>324195</v>
      </c>
      <c r="K11" s="62"/>
      <c r="L11" s="62">
        <f>176751+147444</f>
        <v>324195</v>
      </c>
      <c r="M11" s="62">
        <f>176751+147444</f>
        <v>324195</v>
      </c>
      <c r="N11" s="62">
        <f>176751</f>
        <v>176751</v>
      </c>
      <c r="O11" s="63">
        <f>I11+J11</f>
        <v>1336031</v>
      </c>
      <c r="P11" s="65">
        <f>E11+I11</f>
        <v>46140494</v>
      </c>
      <c r="Q11" s="62">
        <f>F11+J11</f>
        <v>944895</v>
      </c>
      <c r="R11" s="63">
        <f>H11+O11</f>
        <v>47085389</v>
      </c>
    </row>
    <row r="12" spans="1:18" s="9" customFormat="1" ht="25.5" customHeight="1" x14ac:dyDescent="0.2">
      <c r="A12" s="7" t="s">
        <v>261</v>
      </c>
      <c r="B12" s="59" t="s">
        <v>49</v>
      </c>
      <c r="C12" s="59" t="s">
        <v>53</v>
      </c>
      <c r="D12" s="60" t="s">
        <v>262</v>
      </c>
      <c r="E12" s="61">
        <v>8325200</v>
      </c>
      <c r="F12" s="62">
        <f>G12</f>
        <v>800150</v>
      </c>
      <c r="G12" s="62">
        <f>G14+G15+G16+G17+G18+G19+G20+G21+G22</f>
        <v>800150</v>
      </c>
      <c r="H12" s="63">
        <f>E12+F12</f>
        <v>9125350</v>
      </c>
      <c r="I12" s="64">
        <v>0</v>
      </c>
      <c r="J12" s="61">
        <f t="shared" ref="J12:J47" si="1">K12+L12</f>
        <v>298050</v>
      </c>
      <c r="K12" s="62"/>
      <c r="L12" s="62">
        <f>298050</f>
        <v>298050</v>
      </c>
      <c r="M12" s="62">
        <f>298050</f>
        <v>298050</v>
      </c>
      <c r="N12" s="62">
        <f>298050</f>
        <v>298050</v>
      </c>
      <c r="O12" s="63">
        <f t="shared" ref="O12:O47" si="2">I12+J12</f>
        <v>298050</v>
      </c>
      <c r="P12" s="65">
        <f t="shared" ref="P12:P44" si="3">E12+I12</f>
        <v>8325200</v>
      </c>
      <c r="Q12" s="62">
        <f t="shared" ref="Q12:Q46" si="4">F12+J12</f>
        <v>1098200</v>
      </c>
      <c r="R12" s="63">
        <f t="shared" ref="R12:R46" si="5">H12+O12</f>
        <v>9423400</v>
      </c>
    </row>
    <row r="13" spans="1:18" s="9" customFormat="1" ht="13.5" customHeight="1" x14ac:dyDescent="0.2">
      <c r="A13" s="7"/>
      <c r="B13" s="59"/>
      <c r="C13" s="59"/>
      <c r="D13" s="60" t="s">
        <v>279</v>
      </c>
      <c r="E13" s="61"/>
      <c r="F13" s="62">
        <f t="shared" ref="F13:F28" si="6">G13</f>
        <v>0</v>
      </c>
      <c r="G13" s="62"/>
      <c r="H13" s="63"/>
      <c r="I13" s="64">
        <v>0</v>
      </c>
      <c r="J13" s="61">
        <f t="shared" si="1"/>
        <v>0</v>
      </c>
      <c r="K13" s="62"/>
      <c r="L13" s="62"/>
      <c r="M13" s="62"/>
      <c r="N13" s="62"/>
      <c r="O13" s="63">
        <f t="shared" si="2"/>
        <v>0</v>
      </c>
      <c r="P13" s="65"/>
      <c r="Q13" s="62"/>
      <c r="R13" s="63"/>
    </row>
    <row r="14" spans="1:18" s="9" customFormat="1" ht="17.25" customHeight="1" x14ac:dyDescent="0.2">
      <c r="A14" s="7"/>
      <c r="B14" s="59"/>
      <c r="C14" s="59"/>
      <c r="D14" s="66" t="s">
        <v>94</v>
      </c>
      <c r="E14" s="61">
        <v>750000</v>
      </c>
      <c r="F14" s="62">
        <f t="shared" si="6"/>
        <v>0</v>
      </c>
      <c r="G14" s="62"/>
      <c r="H14" s="63">
        <f t="shared" ref="H14:H28" si="7">E14+F14</f>
        <v>750000</v>
      </c>
      <c r="I14" s="64">
        <v>0</v>
      </c>
      <c r="J14" s="61">
        <f t="shared" si="1"/>
        <v>0</v>
      </c>
      <c r="K14" s="62"/>
      <c r="L14" s="62"/>
      <c r="M14" s="62"/>
      <c r="N14" s="62"/>
      <c r="O14" s="63">
        <f t="shared" si="2"/>
        <v>0</v>
      </c>
      <c r="P14" s="65">
        <f t="shared" si="3"/>
        <v>750000</v>
      </c>
      <c r="Q14" s="62">
        <f t="shared" si="4"/>
        <v>0</v>
      </c>
      <c r="R14" s="63">
        <f t="shared" si="5"/>
        <v>750000</v>
      </c>
    </row>
    <row r="15" spans="1:18" s="9" customFormat="1" ht="17.25" customHeight="1" x14ac:dyDescent="0.2">
      <c r="A15" s="7"/>
      <c r="B15" s="59"/>
      <c r="C15" s="59"/>
      <c r="D15" s="66" t="s">
        <v>95</v>
      </c>
      <c r="E15" s="61">
        <v>550000</v>
      </c>
      <c r="F15" s="62">
        <f t="shared" si="6"/>
        <v>0</v>
      </c>
      <c r="G15" s="62"/>
      <c r="H15" s="63">
        <f t="shared" si="7"/>
        <v>550000</v>
      </c>
      <c r="I15" s="64">
        <v>0</v>
      </c>
      <c r="J15" s="61">
        <f t="shared" si="1"/>
        <v>0</v>
      </c>
      <c r="K15" s="62"/>
      <c r="L15" s="62"/>
      <c r="M15" s="62"/>
      <c r="N15" s="62"/>
      <c r="O15" s="63">
        <f t="shared" si="2"/>
        <v>0</v>
      </c>
      <c r="P15" s="65">
        <f t="shared" si="3"/>
        <v>550000</v>
      </c>
      <c r="Q15" s="62">
        <f t="shared" si="4"/>
        <v>0</v>
      </c>
      <c r="R15" s="63">
        <f t="shared" si="5"/>
        <v>550000</v>
      </c>
    </row>
    <row r="16" spans="1:18" s="9" customFormat="1" ht="26.25" customHeight="1" x14ac:dyDescent="0.2">
      <c r="A16" s="7"/>
      <c r="B16" s="59"/>
      <c r="C16" s="59"/>
      <c r="D16" s="66" t="s">
        <v>278</v>
      </c>
      <c r="E16" s="61">
        <v>350000</v>
      </c>
      <c r="F16" s="62">
        <f t="shared" si="6"/>
        <v>0</v>
      </c>
      <c r="G16" s="62"/>
      <c r="H16" s="63">
        <f t="shared" si="7"/>
        <v>350000</v>
      </c>
      <c r="I16" s="64">
        <v>0</v>
      </c>
      <c r="J16" s="61">
        <f t="shared" si="1"/>
        <v>0</v>
      </c>
      <c r="K16" s="62"/>
      <c r="L16" s="62"/>
      <c r="M16" s="62"/>
      <c r="N16" s="62"/>
      <c r="O16" s="63">
        <f t="shared" si="2"/>
        <v>0</v>
      </c>
      <c r="P16" s="65">
        <f t="shared" si="3"/>
        <v>350000</v>
      </c>
      <c r="Q16" s="62">
        <f t="shared" si="4"/>
        <v>0</v>
      </c>
      <c r="R16" s="63">
        <f t="shared" si="5"/>
        <v>350000</v>
      </c>
    </row>
    <row r="17" spans="1:18" s="9" customFormat="1" ht="66.75" customHeight="1" x14ac:dyDescent="0.2">
      <c r="A17" s="7"/>
      <c r="B17" s="59"/>
      <c r="C17" s="59"/>
      <c r="D17" s="66" t="s">
        <v>488</v>
      </c>
      <c r="E17" s="61">
        <v>1230900</v>
      </c>
      <c r="F17" s="62">
        <f t="shared" si="6"/>
        <v>93500</v>
      </c>
      <c r="G17" s="62">
        <f>-54000+49000+49000+49500</f>
        <v>93500</v>
      </c>
      <c r="H17" s="63">
        <f t="shared" si="7"/>
        <v>1324400</v>
      </c>
      <c r="I17" s="64">
        <v>0</v>
      </c>
      <c r="J17" s="61">
        <f t="shared" si="1"/>
        <v>0</v>
      </c>
      <c r="K17" s="62"/>
      <c r="L17" s="62"/>
      <c r="M17" s="62"/>
      <c r="N17" s="62"/>
      <c r="O17" s="63">
        <f t="shared" si="2"/>
        <v>0</v>
      </c>
      <c r="P17" s="65">
        <f t="shared" si="3"/>
        <v>1230900</v>
      </c>
      <c r="Q17" s="62">
        <f t="shared" si="4"/>
        <v>93500</v>
      </c>
      <c r="R17" s="63">
        <f t="shared" si="5"/>
        <v>1324400</v>
      </c>
    </row>
    <row r="18" spans="1:18" s="9" customFormat="1" ht="18" customHeight="1" x14ac:dyDescent="0.2">
      <c r="A18" s="7"/>
      <c r="B18" s="59"/>
      <c r="C18" s="59"/>
      <c r="D18" s="66" t="s">
        <v>289</v>
      </c>
      <c r="E18" s="61">
        <v>2400000</v>
      </c>
      <c r="F18" s="62">
        <f t="shared" si="6"/>
        <v>0</v>
      </c>
      <c r="G18" s="62"/>
      <c r="H18" s="63">
        <f t="shared" si="7"/>
        <v>2400000</v>
      </c>
      <c r="I18" s="64">
        <v>0</v>
      </c>
      <c r="J18" s="61">
        <f t="shared" si="1"/>
        <v>0</v>
      </c>
      <c r="K18" s="62"/>
      <c r="L18" s="62"/>
      <c r="M18" s="62"/>
      <c r="N18" s="62"/>
      <c r="O18" s="63">
        <f t="shared" si="2"/>
        <v>0</v>
      </c>
      <c r="P18" s="65">
        <f t="shared" si="3"/>
        <v>2400000</v>
      </c>
      <c r="Q18" s="62">
        <f t="shared" si="4"/>
        <v>0</v>
      </c>
      <c r="R18" s="63">
        <f t="shared" si="5"/>
        <v>2400000</v>
      </c>
    </row>
    <row r="19" spans="1:18" s="9" customFormat="1" ht="18" customHeight="1" x14ac:dyDescent="0.2">
      <c r="A19" s="7"/>
      <c r="B19" s="59"/>
      <c r="C19" s="59"/>
      <c r="D19" s="66" t="s">
        <v>353</v>
      </c>
      <c r="E19" s="61">
        <v>48000</v>
      </c>
      <c r="F19" s="62">
        <f t="shared" si="6"/>
        <v>1950</v>
      </c>
      <c r="G19" s="62">
        <f>1950</f>
        <v>1950</v>
      </c>
      <c r="H19" s="63">
        <f t="shared" si="7"/>
        <v>49950</v>
      </c>
      <c r="I19" s="64">
        <v>0</v>
      </c>
      <c r="J19" s="61">
        <f t="shared" si="1"/>
        <v>0</v>
      </c>
      <c r="K19" s="62"/>
      <c r="L19" s="62"/>
      <c r="M19" s="62"/>
      <c r="N19" s="62"/>
      <c r="O19" s="63">
        <f t="shared" si="2"/>
        <v>0</v>
      </c>
      <c r="P19" s="65">
        <f t="shared" si="3"/>
        <v>48000</v>
      </c>
      <c r="Q19" s="62">
        <f t="shared" si="4"/>
        <v>1950</v>
      </c>
      <c r="R19" s="63">
        <f t="shared" si="5"/>
        <v>49950</v>
      </c>
    </row>
    <row r="20" spans="1:18" s="9" customFormat="1" ht="42.75" customHeight="1" x14ac:dyDescent="0.2">
      <c r="A20" s="7"/>
      <c r="B20" s="59"/>
      <c r="C20" s="59"/>
      <c r="D20" s="66" t="s">
        <v>290</v>
      </c>
      <c r="E20" s="61">
        <v>1000000</v>
      </c>
      <c r="F20" s="62">
        <f>G20</f>
        <v>-68000</v>
      </c>
      <c r="G20" s="62">
        <f>-68000</f>
        <v>-68000</v>
      </c>
      <c r="H20" s="63">
        <f t="shared" si="7"/>
        <v>932000</v>
      </c>
      <c r="I20" s="64">
        <v>0</v>
      </c>
      <c r="J20" s="61">
        <f t="shared" si="1"/>
        <v>0</v>
      </c>
      <c r="K20" s="62"/>
      <c r="L20" s="62"/>
      <c r="M20" s="62"/>
      <c r="N20" s="62"/>
      <c r="O20" s="63">
        <f t="shared" si="2"/>
        <v>0</v>
      </c>
      <c r="P20" s="65">
        <f t="shared" si="3"/>
        <v>1000000</v>
      </c>
      <c r="Q20" s="62">
        <f t="shared" si="4"/>
        <v>-68000</v>
      </c>
      <c r="R20" s="63">
        <f t="shared" si="5"/>
        <v>932000</v>
      </c>
    </row>
    <row r="21" spans="1:18" s="9" customFormat="1" ht="20.25" customHeight="1" x14ac:dyDescent="0.2">
      <c r="A21" s="7"/>
      <c r="B21" s="59"/>
      <c r="C21" s="59"/>
      <c r="D21" s="66" t="s">
        <v>479</v>
      </c>
      <c r="E21" s="61">
        <v>720000</v>
      </c>
      <c r="F21" s="62">
        <f>G21</f>
        <v>529000</v>
      </c>
      <c r="G21" s="62">
        <f>20000+20000+20000+20000+199000+150000+100000</f>
        <v>529000</v>
      </c>
      <c r="H21" s="63">
        <f t="shared" si="7"/>
        <v>1249000</v>
      </c>
      <c r="I21" s="64"/>
      <c r="J21" s="61"/>
      <c r="K21" s="62"/>
      <c r="L21" s="62"/>
      <c r="M21" s="62"/>
      <c r="N21" s="62"/>
      <c r="O21" s="63"/>
      <c r="P21" s="65"/>
      <c r="Q21" s="62">
        <f t="shared" si="4"/>
        <v>529000</v>
      </c>
      <c r="R21" s="63">
        <f t="shared" si="5"/>
        <v>1249000</v>
      </c>
    </row>
    <row r="22" spans="1:18" s="9" customFormat="1" ht="38.25" customHeight="1" x14ac:dyDescent="0.2">
      <c r="A22" s="7"/>
      <c r="B22" s="59"/>
      <c r="C22" s="59"/>
      <c r="D22" s="66" t="s">
        <v>480</v>
      </c>
      <c r="E22" s="61">
        <v>1276300</v>
      </c>
      <c r="F22" s="62">
        <f>G22</f>
        <v>243700</v>
      </c>
      <c r="G22" s="62">
        <f>243700</f>
        <v>243700</v>
      </c>
      <c r="H22" s="63">
        <f t="shared" si="7"/>
        <v>1520000</v>
      </c>
      <c r="I22" s="64"/>
      <c r="J22" s="61"/>
      <c r="K22" s="62"/>
      <c r="L22" s="62"/>
      <c r="M22" s="62"/>
      <c r="N22" s="62"/>
      <c r="O22" s="63"/>
      <c r="P22" s="65"/>
      <c r="Q22" s="62">
        <f t="shared" si="4"/>
        <v>243700</v>
      </c>
      <c r="R22" s="63">
        <f t="shared" si="5"/>
        <v>1520000</v>
      </c>
    </row>
    <row r="23" spans="1:18" s="9" customFormat="1" ht="22.5" customHeight="1" x14ac:dyDescent="0.2">
      <c r="A23" s="7" t="s">
        <v>440</v>
      </c>
      <c r="B23" s="59" t="s">
        <v>441</v>
      </c>
      <c r="C23" s="59" t="s">
        <v>330</v>
      </c>
      <c r="D23" s="60" t="s">
        <v>329</v>
      </c>
      <c r="E23" s="61">
        <v>500000</v>
      </c>
      <c r="F23" s="62">
        <f>G23</f>
        <v>0</v>
      </c>
      <c r="G23" s="62"/>
      <c r="H23" s="63">
        <f t="shared" si="7"/>
        <v>500000</v>
      </c>
      <c r="I23" s="64">
        <v>0</v>
      </c>
      <c r="J23" s="61">
        <f t="shared" si="1"/>
        <v>0</v>
      </c>
      <c r="K23" s="62"/>
      <c r="L23" s="62"/>
      <c r="M23" s="62"/>
      <c r="N23" s="62"/>
      <c r="O23" s="63">
        <f t="shared" si="2"/>
        <v>0</v>
      </c>
      <c r="P23" s="65">
        <f t="shared" si="3"/>
        <v>500000</v>
      </c>
      <c r="Q23" s="62">
        <f t="shared" si="4"/>
        <v>0</v>
      </c>
      <c r="R23" s="63">
        <f t="shared" si="5"/>
        <v>500000</v>
      </c>
    </row>
    <row r="24" spans="1:18" s="9" customFormat="1" ht="30.6" customHeight="1" x14ac:dyDescent="0.2">
      <c r="A24" s="10" t="s">
        <v>504</v>
      </c>
      <c r="B24" s="59" t="s">
        <v>505</v>
      </c>
      <c r="C24" s="59" t="s">
        <v>75</v>
      </c>
      <c r="D24" s="66" t="s">
        <v>506</v>
      </c>
      <c r="E24" s="61">
        <v>0</v>
      </c>
      <c r="F24" s="62">
        <f>G24</f>
        <v>0</v>
      </c>
      <c r="G24" s="62"/>
      <c r="H24" s="63">
        <f t="shared" si="7"/>
        <v>0</v>
      </c>
      <c r="I24" s="64">
        <v>15000000</v>
      </c>
      <c r="J24" s="61">
        <f>K24+L24</f>
        <v>0</v>
      </c>
      <c r="K24" s="62"/>
      <c r="L24" s="62">
        <f>14971747-14971747</f>
        <v>0</v>
      </c>
      <c r="M24" s="62">
        <f>14971747-14971747</f>
        <v>0</v>
      </c>
      <c r="N24" s="62">
        <f>14971747</f>
        <v>14971747</v>
      </c>
      <c r="O24" s="63">
        <f>I24+J24</f>
        <v>15000000</v>
      </c>
      <c r="P24" s="65">
        <f>E24+I24</f>
        <v>15000000</v>
      </c>
      <c r="Q24" s="62">
        <f>F24+J24</f>
        <v>0</v>
      </c>
      <c r="R24" s="63">
        <f>H24+O24</f>
        <v>15000000</v>
      </c>
    </row>
    <row r="25" spans="1:18" s="9" customFormat="1" ht="22.5" customHeight="1" x14ac:dyDescent="0.2">
      <c r="A25" s="10" t="s">
        <v>226</v>
      </c>
      <c r="B25" s="59" t="s">
        <v>144</v>
      </c>
      <c r="C25" s="59" t="s">
        <v>77</v>
      </c>
      <c r="D25" s="67" t="s">
        <v>107</v>
      </c>
      <c r="E25" s="61">
        <v>0</v>
      </c>
      <c r="F25" s="62">
        <f t="shared" si="6"/>
        <v>0</v>
      </c>
      <c r="G25" s="62"/>
      <c r="H25" s="63">
        <f t="shared" si="7"/>
        <v>0</v>
      </c>
      <c r="I25" s="64">
        <v>3208000</v>
      </c>
      <c r="J25" s="61">
        <f t="shared" si="1"/>
        <v>-700000</v>
      </c>
      <c r="K25" s="62"/>
      <c r="L25" s="62">
        <f>-700000</f>
        <v>-700000</v>
      </c>
      <c r="M25" s="62">
        <f>-700000</f>
        <v>-700000</v>
      </c>
      <c r="N25" s="62">
        <f>-700000</f>
        <v>-700000</v>
      </c>
      <c r="O25" s="63">
        <f t="shared" si="2"/>
        <v>2508000</v>
      </c>
      <c r="P25" s="65">
        <f t="shared" si="3"/>
        <v>3208000</v>
      </c>
      <c r="Q25" s="62">
        <f t="shared" si="4"/>
        <v>-700000</v>
      </c>
      <c r="R25" s="63">
        <f t="shared" si="5"/>
        <v>2508000</v>
      </c>
    </row>
    <row r="26" spans="1:18" s="9" customFormat="1" ht="30.75" customHeight="1" x14ac:dyDescent="0.2">
      <c r="A26" s="7" t="s">
        <v>263</v>
      </c>
      <c r="B26" s="59" t="s">
        <v>264</v>
      </c>
      <c r="C26" s="59" t="s">
        <v>77</v>
      </c>
      <c r="D26" s="66" t="s">
        <v>281</v>
      </c>
      <c r="E26" s="61">
        <v>352300</v>
      </c>
      <c r="F26" s="62">
        <f t="shared" si="6"/>
        <v>0</v>
      </c>
      <c r="G26" s="62"/>
      <c r="H26" s="63">
        <f t="shared" si="7"/>
        <v>352300</v>
      </c>
      <c r="I26" s="64">
        <v>0</v>
      </c>
      <c r="J26" s="61">
        <f t="shared" si="1"/>
        <v>0</v>
      </c>
      <c r="K26" s="62"/>
      <c r="L26" s="62"/>
      <c r="M26" s="62"/>
      <c r="N26" s="62"/>
      <c r="O26" s="63">
        <f t="shared" si="2"/>
        <v>0</v>
      </c>
      <c r="P26" s="65">
        <f t="shared" si="3"/>
        <v>352300</v>
      </c>
      <c r="Q26" s="62">
        <f t="shared" si="4"/>
        <v>0</v>
      </c>
      <c r="R26" s="63">
        <f t="shared" si="5"/>
        <v>352300</v>
      </c>
    </row>
    <row r="27" spans="1:18" s="9" customFormat="1" ht="25.5" customHeight="1" x14ac:dyDescent="0.2">
      <c r="A27" s="7" t="s">
        <v>555</v>
      </c>
      <c r="B27" s="59" t="s">
        <v>509</v>
      </c>
      <c r="C27" s="59" t="s">
        <v>77</v>
      </c>
      <c r="D27" s="66" t="s">
        <v>301</v>
      </c>
      <c r="E27" s="61"/>
      <c r="F27" s="62">
        <f>G27</f>
        <v>54000</v>
      </c>
      <c r="G27" s="62">
        <f>54000</f>
        <v>54000</v>
      </c>
      <c r="H27" s="63">
        <f>E27+F27</f>
        <v>54000</v>
      </c>
      <c r="I27" s="64">
        <v>0</v>
      </c>
      <c r="J27" s="61">
        <f>K27+L27</f>
        <v>0</v>
      </c>
      <c r="K27" s="62"/>
      <c r="L27" s="62"/>
      <c r="M27" s="62"/>
      <c r="N27" s="62"/>
      <c r="O27" s="63">
        <f>I27+J27</f>
        <v>0</v>
      </c>
      <c r="P27" s="65">
        <f>E27+I27</f>
        <v>0</v>
      </c>
      <c r="Q27" s="62">
        <f>F27+J27</f>
        <v>54000</v>
      </c>
      <c r="R27" s="63">
        <f>H27+O27</f>
        <v>54000</v>
      </c>
    </row>
    <row r="28" spans="1:18" s="9" customFormat="1" ht="30.75" customHeight="1" x14ac:dyDescent="0.2">
      <c r="A28" s="7" t="s">
        <v>274</v>
      </c>
      <c r="B28" s="59" t="s">
        <v>275</v>
      </c>
      <c r="C28" s="59" t="s">
        <v>116</v>
      </c>
      <c r="D28" s="66" t="s">
        <v>442</v>
      </c>
      <c r="E28" s="61">
        <f>465199+45000</f>
        <v>510199</v>
      </c>
      <c r="F28" s="62">
        <f t="shared" si="6"/>
        <v>31800</v>
      </c>
      <c r="G28" s="62">
        <f>G30+G31</f>
        <v>31800</v>
      </c>
      <c r="H28" s="63">
        <f t="shared" si="7"/>
        <v>541999</v>
      </c>
      <c r="I28" s="64">
        <v>47051</v>
      </c>
      <c r="J28" s="61">
        <f t="shared" si="1"/>
        <v>0</v>
      </c>
      <c r="K28" s="62"/>
      <c r="L28" s="62">
        <f>-47051+47051</f>
        <v>0</v>
      </c>
      <c r="M28" s="62">
        <f>-47051+47051</f>
        <v>0</v>
      </c>
      <c r="N28" s="62">
        <f>-47051</f>
        <v>-47051</v>
      </c>
      <c r="O28" s="63">
        <f t="shared" si="2"/>
        <v>47051</v>
      </c>
      <c r="P28" s="65">
        <f t="shared" si="3"/>
        <v>557250</v>
      </c>
      <c r="Q28" s="62">
        <f t="shared" si="4"/>
        <v>31800</v>
      </c>
      <c r="R28" s="63">
        <f t="shared" si="5"/>
        <v>589050</v>
      </c>
    </row>
    <row r="29" spans="1:18" s="9" customFormat="1" ht="13.5" customHeight="1" x14ac:dyDescent="0.2">
      <c r="A29" s="7"/>
      <c r="B29" s="59"/>
      <c r="C29" s="59"/>
      <c r="D29" s="60" t="s">
        <v>279</v>
      </c>
      <c r="E29" s="61"/>
      <c r="F29" s="62"/>
      <c r="G29" s="62"/>
      <c r="H29" s="63"/>
      <c r="I29" s="64">
        <v>0</v>
      </c>
      <c r="J29" s="61">
        <f t="shared" si="1"/>
        <v>0</v>
      </c>
      <c r="K29" s="62"/>
      <c r="L29" s="62"/>
      <c r="M29" s="62"/>
      <c r="N29" s="62"/>
      <c r="O29" s="63">
        <f t="shared" si="2"/>
        <v>0</v>
      </c>
      <c r="P29" s="65"/>
      <c r="Q29" s="62"/>
      <c r="R29" s="63"/>
    </row>
    <row r="30" spans="1:18" s="9" customFormat="1" ht="66.95" customHeight="1" x14ac:dyDescent="0.2">
      <c r="A30" s="7"/>
      <c r="B30" s="59"/>
      <c r="C30" s="59"/>
      <c r="D30" s="66" t="s">
        <v>280</v>
      </c>
      <c r="E30" s="61">
        <v>50000</v>
      </c>
      <c r="F30" s="62">
        <f>G30</f>
        <v>0</v>
      </c>
      <c r="G30" s="62"/>
      <c r="H30" s="63">
        <f>E30+F30</f>
        <v>50000</v>
      </c>
      <c r="I30" s="64">
        <v>0</v>
      </c>
      <c r="J30" s="61">
        <f t="shared" si="1"/>
        <v>0</v>
      </c>
      <c r="K30" s="62"/>
      <c r="L30" s="62"/>
      <c r="M30" s="62"/>
      <c r="N30" s="62"/>
      <c r="O30" s="63">
        <f t="shared" si="2"/>
        <v>0</v>
      </c>
      <c r="P30" s="65">
        <f t="shared" si="3"/>
        <v>50000</v>
      </c>
      <c r="Q30" s="62">
        <f t="shared" si="4"/>
        <v>0</v>
      </c>
      <c r="R30" s="63">
        <f t="shared" si="5"/>
        <v>50000</v>
      </c>
    </row>
    <row r="31" spans="1:18" s="9" customFormat="1" ht="75.75" customHeight="1" x14ac:dyDescent="0.2">
      <c r="A31" s="7"/>
      <c r="B31" s="59"/>
      <c r="C31" s="59"/>
      <c r="D31" s="66" t="s">
        <v>542</v>
      </c>
      <c r="E31" s="61">
        <v>252949</v>
      </c>
      <c r="F31" s="62">
        <f>G31</f>
        <v>31800</v>
      </c>
      <c r="G31" s="62">
        <v>31800</v>
      </c>
      <c r="H31" s="63">
        <f>E31+F31</f>
        <v>284749</v>
      </c>
      <c r="I31" s="64">
        <v>47051</v>
      </c>
      <c r="J31" s="61">
        <f t="shared" si="1"/>
        <v>0</v>
      </c>
      <c r="K31" s="62"/>
      <c r="L31" s="62">
        <f>-47051+47051</f>
        <v>0</v>
      </c>
      <c r="M31" s="62">
        <f>-47051+47051</f>
        <v>0</v>
      </c>
      <c r="N31" s="62">
        <f>-47051</f>
        <v>-47051</v>
      </c>
      <c r="O31" s="63">
        <f t="shared" si="2"/>
        <v>47051</v>
      </c>
      <c r="P31" s="65">
        <f>E31+I31</f>
        <v>300000</v>
      </c>
      <c r="Q31" s="62">
        <f t="shared" si="4"/>
        <v>31800</v>
      </c>
      <c r="R31" s="63">
        <f t="shared" si="5"/>
        <v>331800</v>
      </c>
    </row>
    <row r="32" spans="1:18" s="9" customFormat="1" ht="24" customHeight="1" x14ac:dyDescent="0.2">
      <c r="A32" s="7" t="s">
        <v>225</v>
      </c>
      <c r="B32" s="59" t="s">
        <v>142</v>
      </c>
      <c r="C32" s="59" t="s">
        <v>116</v>
      </c>
      <c r="D32" s="66" t="s">
        <v>143</v>
      </c>
      <c r="E32" s="61">
        <f>1940000+40000</f>
        <v>1980000</v>
      </c>
      <c r="F32" s="62">
        <f>G32</f>
        <v>650000</v>
      </c>
      <c r="G32" s="62">
        <f>200000+450000</f>
        <v>650000</v>
      </c>
      <c r="H32" s="63">
        <f>E32+F32</f>
        <v>2630000</v>
      </c>
      <c r="I32" s="68">
        <v>100000</v>
      </c>
      <c r="J32" s="61">
        <f>K32+L32</f>
        <v>0</v>
      </c>
      <c r="K32" s="62"/>
      <c r="L32" s="62">
        <f>-11480+11480</f>
        <v>0</v>
      </c>
      <c r="M32" s="62">
        <f>-11480+11480</f>
        <v>0</v>
      </c>
      <c r="N32" s="62">
        <f>-11480</f>
        <v>-11480</v>
      </c>
      <c r="O32" s="63">
        <f>I32+J32</f>
        <v>100000</v>
      </c>
      <c r="P32" s="65">
        <f>E32+I32</f>
        <v>2080000</v>
      </c>
      <c r="Q32" s="62">
        <f>F32+J32</f>
        <v>650000</v>
      </c>
      <c r="R32" s="63">
        <f>H32+O32</f>
        <v>2730000</v>
      </c>
    </row>
    <row r="33" spans="1:18" s="9" customFormat="1" ht="30.75" customHeight="1" x14ac:dyDescent="0.2">
      <c r="A33" s="7" t="s">
        <v>265</v>
      </c>
      <c r="B33" s="59" t="s">
        <v>266</v>
      </c>
      <c r="C33" s="59" t="s">
        <v>267</v>
      </c>
      <c r="D33" s="66" t="s">
        <v>269</v>
      </c>
      <c r="E33" s="61">
        <v>7508990</v>
      </c>
      <c r="F33" s="62">
        <f>G33</f>
        <v>520000</v>
      </c>
      <c r="G33" s="62">
        <f>G35+G38</f>
        <v>520000</v>
      </c>
      <c r="H33" s="63">
        <f>E33+F33</f>
        <v>8028990</v>
      </c>
      <c r="I33" s="68">
        <v>0</v>
      </c>
      <c r="J33" s="61">
        <f t="shared" si="1"/>
        <v>0</v>
      </c>
      <c r="K33" s="62"/>
      <c r="L33" s="62"/>
      <c r="M33" s="62"/>
      <c r="N33" s="62"/>
      <c r="O33" s="63">
        <f t="shared" si="2"/>
        <v>0</v>
      </c>
      <c r="P33" s="65">
        <f t="shared" si="3"/>
        <v>7508990</v>
      </c>
      <c r="Q33" s="62">
        <f t="shared" si="4"/>
        <v>520000</v>
      </c>
      <c r="R33" s="63">
        <f t="shared" si="5"/>
        <v>8028990</v>
      </c>
    </row>
    <row r="34" spans="1:18" s="9" customFormat="1" ht="12.75" customHeight="1" x14ac:dyDescent="0.2">
      <c r="A34" s="7"/>
      <c r="B34" s="59"/>
      <c r="C34" s="59"/>
      <c r="D34" s="60" t="s">
        <v>279</v>
      </c>
      <c r="E34" s="61"/>
      <c r="F34" s="62"/>
      <c r="G34" s="62"/>
      <c r="H34" s="63"/>
      <c r="I34" s="68">
        <v>0</v>
      </c>
      <c r="J34" s="61">
        <f t="shared" si="1"/>
        <v>0</v>
      </c>
      <c r="K34" s="62"/>
      <c r="L34" s="62"/>
      <c r="M34" s="62"/>
      <c r="N34" s="62"/>
      <c r="O34" s="63">
        <f t="shared" si="2"/>
        <v>0</v>
      </c>
      <c r="P34" s="65"/>
      <c r="Q34" s="62"/>
      <c r="R34" s="63"/>
    </row>
    <row r="35" spans="1:18" s="9" customFormat="1" ht="27" customHeight="1" x14ac:dyDescent="0.2">
      <c r="A35" s="7"/>
      <c r="B35" s="59"/>
      <c r="C35" s="59"/>
      <c r="D35" s="66" t="s">
        <v>268</v>
      </c>
      <c r="E35" s="61">
        <v>7130400</v>
      </c>
      <c r="F35" s="62">
        <f t="shared" ref="F35:F44" si="8">G35</f>
        <v>500000</v>
      </c>
      <c r="G35" s="62">
        <f>500000</f>
        <v>500000</v>
      </c>
      <c r="H35" s="63">
        <f>E35+F35</f>
        <v>7630400</v>
      </c>
      <c r="I35" s="68">
        <v>0</v>
      </c>
      <c r="J35" s="61">
        <f t="shared" si="1"/>
        <v>0</v>
      </c>
      <c r="K35" s="62"/>
      <c r="L35" s="62"/>
      <c r="M35" s="62"/>
      <c r="N35" s="62"/>
      <c r="O35" s="63">
        <f t="shared" si="2"/>
        <v>0</v>
      </c>
      <c r="P35" s="65">
        <f t="shared" si="3"/>
        <v>7130400</v>
      </c>
      <c r="Q35" s="62">
        <f>F35+J35</f>
        <v>500000</v>
      </c>
      <c r="R35" s="63">
        <f t="shared" si="5"/>
        <v>7630400</v>
      </c>
    </row>
    <row r="36" spans="1:18" s="9" customFormat="1" ht="15.75" customHeight="1" x14ac:dyDescent="0.2">
      <c r="A36" s="7"/>
      <c r="B36" s="59"/>
      <c r="C36" s="59"/>
      <c r="D36" s="69" t="s">
        <v>279</v>
      </c>
      <c r="E36" s="61"/>
      <c r="F36" s="62"/>
      <c r="G36" s="62"/>
      <c r="H36" s="63"/>
      <c r="I36" s="68"/>
      <c r="J36" s="61"/>
      <c r="K36" s="62"/>
      <c r="L36" s="62"/>
      <c r="M36" s="62"/>
      <c r="N36" s="62"/>
      <c r="O36" s="63"/>
      <c r="P36" s="65"/>
      <c r="Q36" s="62"/>
      <c r="R36" s="63"/>
    </row>
    <row r="37" spans="1:18" s="9" customFormat="1" ht="30" customHeight="1" x14ac:dyDescent="0.2">
      <c r="A37" s="7"/>
      <c r="B37" s="59"/>
      <c r="C37" s="59"/>
      <c r="D37" s="70" t="s">
        <v>482</v>
      </c>
      <c r="E37" s="61">
        <v>130400</v>
      </c>
      <c r="F37" s="62">
        <f t="shared" si="8"/>
        <v>0</v>
      </c>
      <c r="G37" s="62"/>
      <c r="H37" s="63">
        <f>E37+F37</f>
        <v>130400</v>
      </c>
      <c r="I37" s="68"/>
      <c r="J37" s="61"/>
      <c r="K37" s="62"/>
      <c r="L37" s="62"/>
      <c r="M37" s="62"/>
      <c r="N37" s="62"/>
      <c r="O37" s="63"/>
      <c r="P37" s="65"/>
      <c r="Q37" s="62">
        <f>F37+J37</f>
        <v>0</v>
      </c>
      <c r="R37" s="63">
        <f>H37+O37</f>
        <v>130400</v>
      </c>
    </row>
    <row r="38" spans="1:18" s="9" customFormat="1" ht="36.75" customHeight="1" x14ac:dyDescent="0.2">
      <c r="A38" s="7"/>
      <c r="B38" s="59"/>
      <c r="C38" s="59"/>
      <c r="D38" s="66" t="s">
        <v>270</v>
      </c>
      <c r="E38" s="61">
        <v>378590</v>
      </c>
      <c r="F38" s="62">
        <f t="shared" si="8"/>
        <v>20000</v>
      </c>
      <c r="G38" s="62">
        <v>20000</v>
      </c>
      <c r="H38" s="63">
        <f>E38+F38</f>
        <v>398590</v>
      </c>
      <c r="I38" s="68">
        <v>0</v>
      </c>
      <c r="J38" s="61">
        <f t="shared" si="1"/>
        <v>0</v>
      </c>
      <c r="K38" s="62"/>
      <c r="L38" s="62"/>
      <c r="M38" s="62"/>
      <c r="N38" s="62"/>
      <c r="O38" s="63">
        <f t="shared" si="2"/>
        <v>0</v>
      </c>
      <c r="P38" s="65">
        <f t="shared" si="3"/>
        <v>378590</v>
      </c>
      <c r="Q38" s="62">
        <f>F38+J38</f>
        <v>20000</v>
      </c>
      <c r="R38" s="63">
        <f>H38+O38</f>
        <v>398590</v>
      </c>
    </row>
    <row r="39" spans="1:18" s="9" customFormat="1" ht="15" customHeight="1" x14ac:dyDescent="0.2">
      <c r="A39" s="7"/>
      <c r="B39" s="59"/>
      <c r="C39" s="59"/>
      <c r="D39" s="69" t="s">
        <v>279</v>
      </c>
      <c r="E39" s="61"/>
      <c r="F39" s="62"/>
      <c r="G39" s="62"/>
      <c r="H39" s="63"/>
      <c r="I39" s="68"/>
      <c r="J39" s="61"/>
      <c r="K39" s="62"/>
      <c r="L39" s="62"/>
      <c r="M39" s="62"/>
      <c r="N39" s="62"/>
      <c r="O39" s="63"/>
      <c r="P39" s="65"/>
      <c r="Q39" s="62"/>
      <c r="R39" s="63"/>
    </row>
    <row r="40" spans="1:18" s="9" customFormat="1" ht="23.25" customHeight="1" x14ac:dyDescent="0.2">
      <c r="A40" s="7"/>
      <c r="B40" s="59"/>
      <c r="C40" s="59"/>
      <c r="D40" s="70" t="s">
        <v>481</v>
      </c>
      <c r="E40" s="61">
        <v>80000</v>
      </c>
      <c r="F40" s="62">
        <f t="shared" si="8"/>
        <v>0</v>
      </c>
      <c r="G40" s="62"/>
      <c r="H40" s="63">
        <f>E40+F40</f>
        <v>80000</v>
      </c>
      <c r="I40" s="68"/>
      <c r="J40" s="61"/>
      <c r="K40" s="62"/>
      <c r="L40" s="62"/>
      <c r="M40" s="62"/>
      <c r="N40" s="62"/>
      <c r="O40" s="63"/>
      <c r="P40" s="65"/>
      <c r="Q40" s="62">
        <f t="shared" si="4"/>
        <v>0</v>
      </c>
      <c r="R40" s="63">
        <f t="shared" si="5"/>
        <v>80000</v>
      </c>
    </row>
    <row r="41" spans="1:18" s="9" customFormat="1" ht="23.25" customHeight="1" x14ac:dyDescent="0.2">
      <c r="A41" s="7"/>
      <c r="B41" s="59"/>
      <c r="C41" s="59"/>
      <c r="D41" s="70" t="s">
        <v>483</v>
      </c>
      <c r="E41" s="61">
        <v>128590</v>
      </c>
      <c r="F41" s="62">
        <f t="shared" si="8"/>
        <v>0</v>
      </c>
      <c r="G41" s="62"/>
      <c r="H41" s="63">
        <f>E41+F41</f>
        <v>128590</v>
      </c>
      <c r="I41" s="68"/>
      <c r="J41" s="61"/>
      <c r="K41" s="62"/>
      <c r="L41" s="62"/>
      <c r="M41" s="62"/>
      <c r="N41" s="62"/>
      <c r="O41" s="63"/>
      <c r="P41" s="65"/>
      <c r="Q41" s="62">
        <f t="shared" si="4"/>
        <v>0</v>
      </c>
      <c r="R41" s="63">
        <f t="shared" si="5"/>
        <v>128590</v>
      </c>
    </row>
    <row r="42" spans="1:18" s="9" customFormat="1" ht="30.75" customHeight="1" x14ac:dyDescent="0.2">
      <c r="A42" s="7" t="s">
        <v>271</v>
      </c>
      <c r="B42" s="59" t="s">
        <v>272</v>
      </c>
      <c r="C42" s="59" t="s">
        <v>267</v>
      </c>
      <c r="D42" s="66" t="s">
        <v>288</v>
      </c>
      <c r="E42" s="61">
        <v>1097048</v>
      </c>
      <c r="F42" s="62">
        <f>G42</f>
        <v>126200</v>
      </c>
      <c r="G42" s="62">
        <f>G44</f>
        <v>126200</v>
      </c>
      <c r="H42" s="63">
        <f>E42+F42</f>
        <v>1223248</v>
      </c>
      <c r="I42" s="68">
        <v>52332</v>
      </c>
      <c r="J42" s="61">
        <f t="shared" si="1"/>
        <v>68490</v>
      </c>
      <c r="K42" s="62"/>
      <c r="L42" s="62">
        <f>59576+8914</f>
        <v>68490</v>
      </c>
      <c r="M42" s="62">
        <f>59576+8914</f>
        <v>68490</v>
      </c>
      <c r="N42" s="62">
        <f>59576</f>
        <v>59576</v>
      </c>
      <c r="O42" s="63">
        <f t="shared" si="2"/>
        <v>120822</v>
      </c>
      <c r="P42" s="65">
        <f t="shared" si="3"/>
        <v>1149380</v>
      </c>
      <c r="Q42" s="62">
        <f t="shared" si="4"/>
        <v>194690</v>
      </c>
      <c r="R42" s="63">
        <f t="shared" si="5"/>
        <v>1344070</v>
      </c>
    </row>
    <row r="43" spans="1:18" s="9" customFormat="1" ht="14.25" customHeight="1" x14ac:dyDescent="0.2">
      <c r="A43" s="7"/>
      <c r="B43" s="59"/>
      <c r="C43" s="59"/>
      <c r="D43" s="60" t="s">
        <v>279</v>
      </c>
      <c r="E43" s="61"/>
      <c r="F43" s="62"/>
      <c r="G43" s="62"/>
      <c r="H43" s="63"/>
      <c r="I43" s="68">
        <v>0</v>
      </c>
      <c r="J43" s="61">
        <f t="shared" si="1"/>
        <v>0</v>
      </c>
      <c r="K43" s="62"/>
      <c r="L43" s="62"/>
      <c r="M43" s="62"/>
      <c r="N43" s="62"/>
      <c r="O43" s="63">
        <f t="shared" si="2"/>
        <v>0</v>
      </c>
      <c r="P43" s="65"/>
      <c r="Q43" s="62"/>
      <c r="R43" s="63"/>
    </row>
    <row r="44" spans="1:18" s="9" customFormat="1" ht="41.25" customHeight="1" x14ac:dyDescent="0.2">
      <c r="A44" s="7"/>
      <c r="B44" s="59"/>
      <c r="C44" s="59"/>
      <c r="D44" s="66" t="s">
        <v>273</v>
      </c>
      <c r="E44" s="61">
        <v>1097048</v>
      </c>
      <c r="F44" s="62">
        <f t="shared" si="8"/>
        <v>126200</v>
      </c>
      <c r="G44" s="62">
        <f>73100+37000+16100</f>
        <v>126200</v>
      </c>
      <c r="H44" s="63">
        <f>E44+F44</f>
        <v>1223248</v>
      </c>
      <c r="I44" s="68">
        <v>52332</v>
      </c>
      <c r="J44" s="61">
        <f t="shared" si="1"/>
        <v>68490</v>
      </c>
      <c r="K44" s="62"/>
      <c r="L44" s="62">
        <f>59576+8914</f>
        <v>68490</v>
      </c>
      <c r="M44" s="62">
        <f>59576+8914</f>
        <v>68490</v>
      </c>
      <c r="N44" s="62">
        <f>59576</f>
        <v>59576</v>
      </c>
      <c r="O44" s="63">
        <f t="shared" si="2"/>
        <v>120822</v>
      </c>
      <c r="P44" s="65">
        <f t="shared" si="3"/>
        <v>1149380</v>
      </c>
      <c r="Q44" s="62">
        <f t="shared" si="4"/>
        <v>194690</v>
      </c>
      <c r="R44" s="63">
        <f t="shared" si="5"/>
        <v>1344070</v>
      </c>
    </row>
    <row r="45" spans="1:18" s="9" customFormat="1" ht="22.5" customHeight="1" x14ac:dyDescent="0.2">
      <c r="A45" s="7" t="s">
        <v>277</v>
      </c>
      <c r="B45" s="59" t="s">
        <v>276</v>
      </c>
      <c r="C45" s="59" t="s">
        <v>267</v>
      </c>
      <c r="D45" s="66" t="s">
        <v>287</v>
      </c>
      <c r="E45" s="61">
        <v>128090</v>
      </c>
      <c r="F45" s="62">
        <f>G45</f>
        <v>0</v>
      </c>
      <c r="G45" s="62">
        <f>G47</f>
        <v>0</v>
      </c>
      <c r="H45" s="63">
        <f>E45+F45</f>
        <v>128090</v>
      </c>
      <c r="I45" s="68">
        <v>168490</v>
      </c>
      <c r="J45" s="61">
        <f t="shared" si="1"/>
        <v>0</v>
      </c>
      <c r="K45" s="62"/>
      <c r="L45" s="62"/>
      <c r="M45" s="62"/>
      <c r="N45" s="62"/>
      <c r="O45" s="63">
        <f t="shared" si="2"/>
        <v>168490</v>
      </c>
      <c r="P45" s="71">
        <f>E45+J45</f>
        <v>128090</v>
      </c>
      <c r="Q45" s="62">
        <f t="shared" si="4"/>
        <v>0</v>
      </c>
      <c r="R45" s="63">
        <f t="shared" si="5"/>
        <v>296580</v>
      </c>
    </row>
    <row r="46" spans="1:18" s="9" customFormat="1" ht="13.5" customHeight="1" x14ac:dyDescent="0.2">
      <c r="A46" s="7"/>
      <c r="B46" s="59"/>
      <c r="C46" s="59"/>
      <c r="D46" s="60" t="s">
        <v>279</v>
      </c>
      <c r="E46" s="61"/>
      <c r="F46" s="62"/>
      <c r="G46" s="62"/>
      <c r="H46" s="63"/>
      <c r="I46" s="68">
        <v>0</v>
      </c>
      <c r="J46" s="61">
        <f t="shared" si="1"/>
        <v>0</v>
      </c>
      <c r="K46" s="62"/>
      <c r="L46" s="62"/>
      <c r="M46" s="62"/>
      <c r="N46" s="62"/>
      <c r="O46" s="63">
        <f t="shared" si="2"/>
        <v>0</v>
      </c>
      <c r="P46" s="71">
        <f>E46+J46</f>
        <v>0</v>
      </c>
      <c r="Q46" s="62">
        <f t="shared" si="4"/>
        <v>0</v>
      </c>
      <c r="R46" s="63">
        <f t="shared" si="5"/>
        <v>0</v>
      </c>
    </row>
    <row r="47" spans="1:18" s="9" customFormat="1" ht="31.5" customHeight="1" x14ac:dyDescent="0.2">
      <c r="A47" s="7"/>
      <c r="B47" s="59"/>
      <c r="C47" s="59"/>
      <c r="D47" s="66" t="s">
        <v>343</v>
      </c>
      <c r="E47" s="61">
        <v>128090</v>
      </c>
      <c r="F47" s="62">
        <f>G47</f>
        <v>0</v>
      </c>
      <c r="G47" s="62"/>
      <c r="H47" s="63">
        <f>E47+F47</f>
        <v>128090</v>
      </c>
      <c r="I47" s="68">
        <v>168490</v>
      </c>
      <c r="J47" s="61">
        <f t="shared" si="1"/>
        <v>0</v>
      </c>
      <c r="K47" s="62"/>
      <c r="L47" s="62"/>
      <c r="M47" s="62"/>
      <c r="N47" s="62"/>
      <c r="O47" s="63">
        <f t="shared" si="2"/>
        <v>168490</v>
      </c>
      <c r="P47" s="71">
        <f>E47+J47</f>
        <v>128090</v>
      </c>
      <c r="Q47" s="62">
        <f>F47+J47</f>
        <v>0</v>
      </c>
      <c r="R47" s="63">
        <f>H47+O47</f>
        <v>296580</v>
      </c>
    </row>
    <row r="48" spans="1:18" s="5" customFormat="1" ht="22.5" customHeight="1" x14ac:dyDescent="0.2">
      <c r="A48" s="11" t="s">
        <v>179</v>
      </c>
      <c r="B48" s="48"/>
      <c r="C48" s="48"/>
      <c r="D48" s="72" t="s">
        <v>68</v>
      </c>
      <c r="E48" s="50">
        <v>711674879.33999991</v>
      </c>
      <c r="F48" s="51">
        <f>F50+F51+F56+F65+F67+F69+F70+F73+F74+F75+F76+F78+F79+F80+F81+F83</f>
        <v>47325200</v>
      </c>
      <c r="G48" s="51">
        <f>G50+G51+G56+G65+G67+G69+G70+G73+G74+G75+G76+G78+G79+G80+G81++G83</f>
        <v>47325200</v>
      </c>
      <c r="H48" s="55">
        <f>H50+H51+H56+H65+H67+H69+H70+H73+H74+H75+H76+H78+H79+H80+H81++H83</f>
        <v>759000079.33999991</v>
      </c>
      <c r="I48" s="73">
        <v>84353808</v>
      </c>
      <c r="J48" s="50">
        <f>J50+J51+J56+J65+J67+J69+J70+J73+J74+J75+J76+J78+J79+J80+J81++J83+J82+J84</f>
        <v>1945618</v>
      </c>
      <c r="K48" s="51">
        <f>K50+K51+K56+K65+K67+K69+K70+K73+K74+K75+K76+K78+K79+K80+K81+K83+K82+K84</f>
        <v>0</v>
      </c>
      <c r="L48" s="51">
        <f>L50+L51+L56+L65+L67+L69+L70+L73+L74+L75+L76+L78+L79+L80+L81++L83+L82+L84</f>
        <v>1945618</v>
      </c>
      <c r="M48" s="51">
        <f>M50+M51+M56+M65+M67+M69+M70+M73+M74+M75+M76+M78+M79+M80+M81+M83+M82+M84</f>
        <v>1945618</v>
      </c>
      <c r="N48" s="51">
        <f>N50+N51+N56+N65+N67+N69+N70+N73+N74+N75+N76+N78+N79+N80+N81+N83+N82+N84</f>
        <v>573977</v>
      </c>
      <c r="O48" s="55">
        <f>O50+O51+O56+O65+O67+O69+O70+O73+O74+O75+O76+O78+O79+O80+O81+O83+O82+O84</f>
        <v>86299426</v>
      </c>
      <c r="P48" s="56">
        <f>E48+I48</f>
        <v>796028687.33999991</v>
      </c>
      <c r="Q48" s="51">
        <f>F48+J48</f>
        <v>49270818</v>
      </c>
      <c r="R48" s="55">
        <f>H48+O48</f>
        <v>845299505.33999991</v>
      </c>
    </row>
    <row r="49" spans="1:19" s="5" customFormat="1" ht="20.25" customHeight="1" x14ac:dyDescent="0.2">
      <c r="A49" s="11" t="s">
        <v>227</v>
      </c>
      <c r="B49" s="48"/>
      <c r="C49" s="48"/>
      <c r="D49" s="72" t="s">
        <v>68</v>
      </c>
      <c r="E49" s="50"/>
      <c r="F49" s="51"/>
      <c r="G49" s="51"/>
      <c r="H49" s="52"/>
      <c r="I49" s="53"/>
      <c r="J49" s="54"/>
      <c r="K49" s="51"/>
      <c r="L49" s="51"/>
      <c r="M49" s="51"/>
      <c r="N49" s="51"/>
      <c r="O49" s="55"/>
      <c r="P49" s="56"/>
      <c r="Q49" s="74"/>
      <c r="R49" s="75"/>
    </row>
    <row r="50" spans="1:19" s="9" customFormat="1" ht="16.5" customHeight="1" x14ac:dyDescent="0.2">
      <c r="A50" s="7" t="s">
        <v>228</v>
      </c>
      <c r="B50" s="59" t="s">
        <v>121</v>
      </c>
      <c r="C50" s="59" t="s">
        <v>66</v>
      </c>
      <c r="D50" s="60" t="s">
        <v>30</v>
      </c>
      <c r="E50" s="61">
        <v>3091000</v>
      </c>
      <c r="F50" s="62">
        <f>G50</f>
        <v>97700</v>
      </c>
      <c r="G50" s="62">
        <f>57700+40000</f>
        <v>97700</v>
      </c>
      <c r="H50" s="63">
        <f>E50+F50</f>
        <v>3188700</v>
      </c>
      <c r="I50" s="64">
        <v>0</v>
      </c>
      <c r="J50" s="61">
        <f>K50+L50</f>
        <v>0</v>
      </c>
      <c r="K50" s="62"/>
      <c r="L50" s="62"/>
      <c r="M50" s="62"/>
      <c r="N50" s="62"/>
      <c r="O50" s="63">
        <f>I50+J50</f>
        <v>0</v>
      </c>
      <c r="P50" s="65">
        <f>E50+I50</f>
        <v>3091000</v>
      </c>
      <c r="Q50" s="62">
        <f t="shared" ref="Q50:Q84" si="9">F50+J50</f>
        <v>97700</v>
      </c>
      <c r="R50" s="63">
        <f t="shared" ref="R50:R84" si="10">H50+O50</f>
        <v>3188700</v>
      </c>
      <c r="S50" s="12"/>
    </row>
    <row r="51" spans="1:19" s="9" customFormat="1" ht="15" customHeight="1" x14ac:dyDescent="0.2">
      <c r="A51" s="7" t="s">
        <v>229</v>
      </c>
      <c r="B51" s="59">
        <v>1010</v>
      </c>
      <c r="C51" s="59" t="s">
        <v>84</v>
      </c>
      <c r="D51" s="60" t="s">
        <v>145</v>
      </c>
      <c r="E51" s="61">
        <v>135443577</v>
      </c>
      <c r="F51" s="62">
        <f t="shared" ref="F51:F81" si="11">G51</f>
        <v>23054280</v>
      </c>
      <c r="G51" s="62">
        <f>10396300+4402300+3079800-800000+1100000+3715300+18900+661000+10000+325000+7980+10700+127000</f>
        <v>23054280</v>
      </c>
      <c r="H51" s="63">
        <f t="shared" ref="H51:H81" si="12">E51+F51</f>
        <v>158497857</v>
      </c>
      <c r="I51" s="64">
        <v>20293650</v>
      </c>
      <c r="J51" s="61">
        <f>K51+L51</f>
        <v>50000</v>
      </c>
      <c r="K51" s="62"/>
      <c r="L51" s="62">
        <f>-125064+125064+50000</f>
        <v>50000</v>
      </c>
      <c r="M51" s="62">
        <f>-125064+125064+50000</f>
        <v>50000</v>
      </c>
      <c r="N51" s="62">
        <f>-125064</f>
        <v>-125064</v>
      </c>
      <c r="O51" s="63">
        <f t="shared" ref="O51:O84" si="13">I51+J51</f>
        <v>20343650</v>
      </c>
      <c r="P51" s="65">
        <f>E51+I51</f>
        <v>155737227</v>
      </c>
      <c r="Q51" s="62">
        <f t="shared" si="9"/>
        <v>23104280</v>
      </c>
      <c r="R51" s="63">
        <f t="shared" si="10"/>
        <v>178841507</v>
      </c>
      <c r="S51" s="13"/>
    </row>
    <row r="52" spans="1:19" s="9" customFormat="1" ht="15" customHeight="1" x14ac:dyDescent="0.2">
      <c r="A52" s="7"/>
      <c r="B52" s="59"/>
      <c r="C52" s="59"/>
      <c r="D52" s="70" t="s">
        <v>478</v>
      </c>
      <c r="E52" s="61">
        <v>950000</v>
      </c>
      <c r="F52" s="62">
        <f t="shared" si="11"/>
        <v>325000</v>
      </c>
      <c r="G52" s="62">
        <v>325000</v>
      </c>
      <c r="H52" s="63">
        <f t="shared" si="12"/>
        <v>1275000</v>
      </c>
      <c r="I52" s="64">
        <v>100000</v>
      </c>
      <c r="J52" s="61">
        <f>K52+L52</f>
        <v>50000</v>
      </c>
      <c r="K52" s="62"/>
      <c r="L52" s="62">
        <f>50000</f>
        <v>50000</v>
      </c>
      <c r="M52" s="62">
        <f>50000</f>
        <v>50000</v>
      </c>
      <c r="N52" s="62"/>
      <c r="O52" s="63">
        <f t="shared" si="13"/>
        <v>150000</v>
      </c>
      <c r="P52" s="65">
        <f>E52+I52</f>
        <v>1050000</v>
      </c>
      <c r="Q52" s="62">
        <f t="shared" si="9"/>
        <v>375000</v>
      </c>
      <c r="R52" s="63">
        <f t="shared" si="10"/>
        <v>1425000</v>
      </c>
      <c r="S52" s="13"/>
    </row>
    <row r="53" spans="1:19" s="9" customFormat="1" ht="15" customHeight="1" x14ac:dyDescent="0.2">
      <c r="A53" s="7"/>
      <c r="B53" s="59"/>
      <c r="C53" s="59"/>
      <c r="D53" s="70" t="s">
        <v>477</v>
      </c>
      <c r="E53" s="61"/>
      <c r="F53" s="62">
        <f t="shared" si="11"/>
        <v>10000</v>
      </c>
      <c r="G53" s="62">
        <v>10000</v>
      </c>
      <c r="H53" s="63">
        <f t="shared" si="12"/>
        <v>10000</v>
      </c>
      <c r="I53" s="64"/>
      <c r="J53" s="61">
        <f>K53+L53</f>
        <v>0</v>
      </c>
      <c r="K53" s="62"/>
      <c r="L53" s="62"/>
      <c r="M53" s="62"/>
      <c r="N53" s="62"/>
      <c r="O53" s="63"/>
      <c r="P53" s="65">
        <f>E53+I53</f>
        <v>0</v>
      </c>
      <c r="Q53" s="62">
        <f t="shared" si="9"/>
        <v>10000</v>
      </c>
      <c r="R53" s="63">
        <f t="shared" si="10"/>
        <v>10000</v>
      </c>
      <c r="S53" s="13"/>
    </row>
    <row r="54" spans="1:19" s="9" customFormat="1" ht="15" customHeight="1" x14ac:dyDescent="0.2">
      <c r="A54" s="7"/>
      <c r="B54" s="59"/>
      <c r="C54" s="59"/>
      <c r="D54" s="70" t="s">
        <v>476</v>
      </c>
      <c r="E54" s="61">
        <v>153500</v>
      </c>
      <c r="F54" s="62">
        <f t="shared" si="11"/>
        <v>0</v>
      </c>
      <c r="G54" s="62"/>
      <c r="H54" s="63">
        <f t="shared" si="12"/>
        <v>153500</v>
      </c>
      <c r="I54" s="64">
        <v>34500</v>
      </c>
      <c r="J54" s="61">
        <f>K54+L54</f>
        <v>0</v>
      </c>
      <c r="K54" s="62"/>
      <c r="L54" s="62"/>
      <c r="M54" s="62"/>
      <c r="N54" s="62"/>
      <c r="O54" s="63">
        <f t="shared" si="13"/>
        <v>34500</v>
      </c>
      <c r="P54" s="65">
        <f>E54+I54</f>
        <v>188000</v>
      </c>
      <c r="Q54" s="62">
        <f t="shared" si="9"/>
        <v>0</v>
      </c>
      <c r="R54" s="63">
        <f t="shared" si="10"/>
        <v>188000</v>
      </c>
      <c r="S54" s="13"/>
    </row>
    <row r="55" spans="1:19" s="9" customFormat="1" ht="15" customHeight="1" x14ac:dyDescent="0.2">
      <c r="A55" s="7"/>
      <c r="B55" s="59"/>
      <c r="C55" s="59"/>
      <c r="D55" s="70" t="s">
        <v>523</v>
      </c>
      <c r="E55" s="61">
        <v>4892</v>
      </c>
      <c r="F55" s="62">
        <f t="shared" si="11"/>
        <v>0</v>
      </c>
      <c r="G55" s="62"/>
      <c r="H55" s="63">
        <f t="shared" si="12"/>
        <v>4892</v>
      </c>
      <c r="I55" s="64"/>
      <c r="J55" s="61"/>
      <c r="K55" s="62"/>
      <c r="L55" s="62"/>
      <c r="M55" s="62"/>
      <c r="N55" s="62"/>
      <c r="O55" s="63"/>
      <c r="P55" s="65"/>
      <c r="Q55" s="62"/>
      <c r="R55" s="63"/>
      <c r="S55" s="13"/>
    </row>
    <row r="56" spans="1:19" s="9" customFormat="1" ht="63.75" customHeight="1" x14ac:dyDescent="0.2">
      <c r="A56" s="7" t="s">
        <v>230</v>
      </c>
      <c r="B56" s="59">
        <v>1020</v>
      </c>
      <c r="C56" s="59" t="s">
        <v>85</v>
      </c>
      <c r="D56" s="60" t="s">
        <v>31</v>
      </c>
      <c r="E56" s="61">
        <v>384819158.33999997</v>
      </c>
      <c r="F56" s="62">
        <f t="shared" si="11"/>
        <v>22320075</v>
      </c>
      <c r="G56" s="62">
        <f>881830+3276900-3013700+800000-49100+50000-1179120+113500+1100000+110000+4615600+100000+80000+49900+50000-194400+615500+6605800+61223+50000+17000+9500000+24551+3964-1399373+50000</f>
        <v>22320075</v>
      </c>
      <c r="H56" s="63">
        <f>E56+F56</f>
        <v>407139233.33999997</v>
      </c>
      <c r="I56" s="64">
        <v>38788688</v>
      </c>
      <c r="J56" s="61">
        <f>K56+L56</f>
        <v>1895618</v>
      </c>
      <c r="K56" s="62"/>
      <c r="L56" s="62">
        <f>860619+731999+303000</f>
        <v>1895618</v>
      </c>
      <c r="M56" s="62">
        <f>860619+731999+303000</f>
        <v>1895618</v>
      </c>
      <c r="N56" s="62">
        <f>860619</f>
        <v>860619</v>
      </c>
      <c r="O56" s="63">
        <f t="shared" si="13"/>
        <v>40684306</v>
      </c>
      <c r="P56" s="65">
        <f t="shared" ref="P56:P82" si="14">E56+I56</f>
        <v>423607846.33999997</v>
      </c>
      <c r="Q56" s="62">
        <f>F56+J56</f>
        <v>24215693</v>
      </c>
      <c r="R56" s="63">
        <f>H56+O56</f>
        <v>447823539.33999997</v>
      </c>
      <c r="S56" s="14"/>
    </row>
    <row r="57" spans="1:19" s="9" customFormat="1" ht="35.450000000000003" customHeight="1" x14ac:dyDescent="0.2">
      <c r="A57" s="7"/>
      <c r="B57" s="59"/>
      <c r="C57" s="59"/>
      <c r="D57" s="76" t="s">
        <v>57</v>
      </c>
      <c r="E57" s="61">
        <v>268278335.34</v>
      </c>
      <c r="F57" s="62">
        <f t="shared" si="11"/>
        <v>396428</v>
      </c>
      <c r="G57" s="62">
        <v>396428</v>
      </c>
      <c r="H57" s="63">
        <f>E57+F57</f>
        <v>268674763.34000003</v>
      </c>
      <c r="I57" s="64">
        <v>0</v>
      </c>
      <c r="J57" s="61">
        <f t="shared" ref="J57:J66" si="15">K57+L57</f>
        <v>0</v>
      </c>
      <c r="K57" s="62"/>
      <c r="L57" s="62"/>
      <c r="M57" s="62"/>
      <c r="N57" s="62"/>
      <c r="O57" s="63">
        <f t="shared" si="13"/>
        <v>0</v>
      </c>
      <c r="P57" s="65">
        <f t="shared" si="14"/>
        <v>268278335.34</v>
      </c>
      <c r="Q57" s="62">
        <f t="shared" si="9"/>
        <v>396428</v>
      </c>
      <c r="R57" s="63">
        <f t="shared" si="10"/>
        <v>268674763.34000003</v>
      </c>
    </row>
    <row r="58" spans="1:19" s="9" customFormat="1" ht="55.9" customHeight="1" x14ac:dyDescent="0.2">
      <c r="A58" s="7"/>
      <c r="B58" s="59"/>
      <c r="C58" s="59"/>
      <c r="D58" s="76" t="s">
        <v>531</v>
      </c>
      <c r="E58" s="61">
        <v>439324</v>
      </c>
      <c r="F58" s="62">
        <f>G58</f>
        <v>0</v>
      </c>
      <c r="G58" s="62"/>
      <c r="H58" s="63">
        <f>E58+F58</f>
        <v>439324</v>
      </c>
      <c r="I58" s="64"/>
      <c r="J58" s="61">
        <f t="shared" si="15"/>
        <v>0</v>
      </c>
      <c r="K58" s="62"/>
      <c r="L58" s="62"/>
      <c r="M58" s="62"/>
      <c r="N58" s="62"/>
      <c r="O58" s="63">
        <f t="shared" si="13"/>
        <v>0</v>
      </c>
      <c r="P58" s="65">
        <f t="shared" si="14"/>
        <v>439324</v>
      </c>
      <c r="Q58" s="62">
        <f t="shared" si="9"/>
        <v>0</v>
      </c>
      <c r="R58" s="63">
        <f t="shared" si="10"/>
        <v>439324</v>
      </c>
    </row>
    <row r="59" spans="1:19" s="9" customFormat="1" ht="36.6" customHeight="1" x14ac:dyDescent="0.2">
      <c r="A59" s="7"/>
      <c r="B59" s="59"/>
      <c r="C59" s="59"/>
      <c r="D59" s="76" t="s">
        <v>550</v>
      </c>
      <c r="E59" s="61">
        <v>2000000</v>
      </c>
      <c r="F59" s="62">
        <f>G59</f>
        <v>0</v>
      </c>
      <c r="G59" s="62"/>
      <c r="H59" s="63">
        <f>E59+F59</f>
        <v>2000000</v>
      </c>
      <c r="I59" s="64"/>
      <c r="J59" s="61">
        <f t="shared" si="15"/>
        <v>100000</v>
      </c>
      <c r="K59" s="62"/>
      <c r="L59" s="62">
        <f>100000</f>
        <v>100000</v>
      </c>
      <c r="M59" s="62">
        <f>100000</f>
        <v>100000</v>
      </c>
      <c r="N59" s="62"/>
      <c r="O59" s="63">
        <f t="shared" si="13"/>
        <v>100000</v>
      </c>
      <c r="P59" s="65">
        <f t="shared" si="14"/>
        <v>2000000</v>
      </c>
      <c r="Q59" s="62">
        <f t="shared" si="9"/>
        <v>100000</v>
      </c>
      <c r="R59" s="63">
        <f t="shared" si="10"/>
        <v>2100000</v>
      </c>
    </row>
    <row r="60" spans="1:19" s="9" customFormat="1" ht="14.45" customHeight="1" x14ac:dyDescent="0.2">
      <c r="A60" s="7"/>
      <c r="B60" s="59"/>
      <c r="C60" s="59"/>
      <c r="D60" s="70" t="s">
        <v>474</v>
      </c>
      <c r="E60" s="61">
        <v>200000</v>
      </c>
      <c r="F60" s="62">
        <f t="shared" si="11"/>
        <v>0</v>
      </c>
      <c r="G60" s="62"/>
      <c r="H60" s="63">
        <f t="shared" si="12"/>
        <v>200000</v>
      </c>
      <c r="I60" s="64">
        <v>80000</v>
      </c>
      <c r="J60" s="61">
        <f t="shared" si="15"/>
        <v>0</v>
      </c>
      <c r="K60" s="62"/>
      <c r="L60" s="62"/>
      <c r="M60" s="62"/>
      <c r="N60" s="62"/>
      <c r="O60" s="63">
        <f t="shared" si="13"/>
        <v>80000</v>
      </c>
      <c r="P60" s="65">
        <f t="shared" si="14"/>
        <v>280000</v>
      </c>
      <c r="Q60" s="62">
        <f t="shared" si="9"/>
        <v>0</v>
      </c>
      <c r="R60" s="63">
        <f t="shared" si="10"/>
        <v>280000</v>
      </c>
    </row>
    <row r="61" spans="1:19" s="9" customFormat="1" ht="14.45" customHeight="1" x14ac:dyDescent="0.2">
      <c r="A61" s="7"/>
      <c r="B61" s="59"/>
      <c r="C61" s="59"/>
      <c r="D61" s="70" t="s">
        <v>554</v>
      </c>
      <c r="E61" s="61"/>
      <c r="F61" s="62">
        <f t="shared" si="11"/>
        <v>50000</v>
      </c>
      <c r="G61" s="62">
        <v>50000</v>
      </c>
      <c r="H61" s="63">
        <f t="shared" si="12"/>
        <v>50000</v>
      </c>
      <c r="I61" s="64"/>
      <c r="J61" s="61">
        <f t="shared" si="15"/>
        <v>0</v>
      </c>
      <c r="K61" s="62"/>
      <c r="L61" s="62"/>
      <c r="M61" s="62"/>
      <c r="N61" s="62"/>
      <c r="O61" s="63">
        <f t="shared" si="13"/>
        <v>0</v>
      </c>
      <c r="P61" s="65">
        <f>E61+I61</f>
        <v>0</v>
      </c>
      <c r="Q61" s="62">
        <f t="shared" si="9"/>
        <v>50000</v>
      </c>
      <c r="R61" s="63">
        <f t="shared" si="10"/>
        <v>50000</v>
      </c>
    </row>
    <row r="62" spans="1:19" s="9" customFormat="1" ht="15" customHeight="1" x14ac:dyDescent="0.2">
      <c r="A62" s="7"/>
      <c r="B62" s="59"/>
      <c r="C62" s="59"/>
      <c r="D62" s="70" t="s">
        <v>475</v>
      </c>
      <c r="E62" s="61">
        <v>110000</v>
      </c>
      <c r="F62" s="62">
        <f t="shared" si="11"/>
        <v>0</v>
      </c>
      <c r="G62" s="62"/>
      <c r="H62" s="63">
        <f t="shared" si="12"/>
        <v>110000</v>
      </c>
      <c r="I62" s="64">
        <v>70000</v>
      </c>
      <c r="J62" s="61">
        <f t="shared" si="15"/>
        <v>0</v>
      </c>
      <c r="K62" s="62"/>
      <c r="L62" s="62"/>
      <c r="M62" s="62"/>
      <c r="N62" s="62"/>
      <c r="O62" s="63">
        <f t="shared" si="13"/>
        <v>70000</v>
      </c>
      <c r="P62" s="65">
        <f>E62+I62</f>
        <v>180000</v>
      </c>
      <c r="Q62" s="62">
        <f t="shared" si="9"/>
        <v>0</v>
      </c>
      <c r="R62" s="63">
        <f t="shared" si="10"/>
        <v>180000</v>
      </c>
    </row>
    <row r="63" spans="1:19" s="9" customFormat="1" ht="15" customHeight="1" x14ac:dyDescent="0.2">
      <c r="A63" s="7"/>
      <c r="B63" s="59"/>
      <c r="C63" s="59"/>
      <c r="D63" s="70" t="s">
        <v>478</v>
      </c>
      <c r="E63" s="61">
        <v>518800</v>
      </c>
      <c r="F63" s="62">
        <f t="shared" si="11"/>
        <v>0</v>
      </c>
      <c r="G63" s="62"/>
      <c r="H63" s="63">
        <f t="shared" si="12"/>
        <v>518800</v>
      </c>
      <c r="I63" s="64">
        <v>116200</v>
      </c>
      <c r="J63" s="61">
        <f t="shared" si="15"/>
        <v>203000</v>
      </c>
      <c r="K63" s="62"/>
      <c r="L63" s="62">
        <f>203000</f>
        <v>203000</v>
      </c>
      <c r="M63" s="62">
        <f>203000</f>
        <v>203000</v>
      </c>
      <c r="N63" s="62"/>
      <c r="O63" s="63">
        <f t="shared" si="13"/>
        <v>319200</v>
      </c>
      <c r="P63" s="65">
        <f>E63+I63</f>
        <v>635000</v>
      </c>
      <c r="Q63" s="62">
        <f t="shared" si="9"/>
        <v>203000</v>
      </c>
      <c r="R63" s="63">
        <f t="shared" si="10"/>
        <v>838000</v>
      </c>
    </row>
    <row r="64" spans="1:19" s="9" customFormat="1" ht="15" customHeight="1" x14ac:dyDescent="0.2">
      <c r="A64" s="7"/>
      <c r="B64" s="59"/>
      <c r="C64" s="59"/>
      <c r="D64" s="70" t="s">
        <v>477</v>
      </c>
      <c r="E64" s="61">
        <v>35000</v>
      </c>
      <c r="F64" s="62">
        <f t="shared" si="11"/>
        <v>17000</v>
      </c>
      <c r="G64" s="62">
        <v>17000</v>
      </c>
      <c r="H64" s="63">
        <f t="shared" si="12"/>
        <v>52000</v>
      </c>
      <c r="I64" s="64">
        <v>40000</v>
      </c>
      <c r="J64" s="61">
        <f t="shared" si="15"/>
        <v>0</v>
      </c>
      <c r="K64" s="62"/>
      <c r="L64" s="62"/>
      <c r="M64" s="62"/>
      <c r="N64" s="62"/>
      <c r="O64" s="63">
        <f t="shared" si="13"/>
        <v>40000</v>
      </c>
      <c r="P64" s="65">
        <f>E64+I64</f>
        <v>75000</v>
      </c>
      <c r="Q64" s="62">
        <f t="shared" si="9"/>
        <v>17000</v>
      </c>
      <c r="R64" s="63">
        <f t="shared" si="10"/>
        <v>92000</v>
      </c>
    </row>
    <row r="65" spans="1:18" s="9" customFormat="1" ht="24" x14ac:dyDescent="0.2">
      <c r="A65" s="7" t="s">
        <v>231</v>
      </c>
      <c r="B65" s="59">
        <v>1030</v>
      </c>
      <c r="C65" s="59" t="s">
        <v>85</v>
      </c>
      <c r="D65" s="60" t="s">
        <v>32</v>
      </c>
      <c r="E65" s="61">
        <v>1914792</v>
      </c>
      <c r="F65" s="62">
        <f t="shared" si="11"/>
        <v>-743915</v>
      </c>
      <c r="G65" s="62">
        <v>-743915</v>
      </c>
      <c r="H65" s="63">
        <f t="shared" si="12"/>
        <v>1170877</v>
      </c>
      <c r="I65" s="64">
        <v>0</v>
      </c>
      <c r="J65" s="61">
        <f t="shared" si="15"/>
        <v>0</v>
      </c>
      <c r="K65" s="62"/>
      <c r="L65" s="62"/>
      <c r="M65" s="62"/>
      <c r="N65" s="62"/>
      <c r="O65" s="63">
        <f t="shared" si="13"/>
        <v>0</v>
      </c>
      <c r="P65" s="65">
        <f t="shared" si="14"/>
        <v>1914792</v>
      </c>
      <c r="Q65" s="62">
        <f t="shared" si="9"/>
        <v>-743915</v>
      </c>
      <c r="R65" s="63">
        <f t="shared" si="10"/>
        <v>1170877</v>
      </c>
    </row>
    <row r="66" spans="1:18" s="9" customFormat="1" ht="39" customHeight="1" x14ac:dyDescent="0.2">
      <c r="A66" s="7"/>
      <c r="B66" s="59"/>
      <c r="C66" s="59"/>
      <c r="D66" s="76" t="s">
        <v>57</v>
      </c>
      <c r="E66" s="61">
        <v>1133500</v>
      </c>
      <c r="F66" s="62">
        <f t="shared" si="11"/>
        <v>-396428</v>
      </c>
      <c r="G66" s="62">
        <v>-396428</v>
      </c>
      <c r="H66" s="63">
        <f t="shared" si="12"/>
        <v>737072</v>
      </c>
      <c r="I66" s="64"/>
      <c r="J66" s="61">
        <f t="shared" si="15"/>
        <v>0</v>
      </c>
      <c r="K66" s="62"/>
      <c r="L66" s="62"/>
      <c r="M66" s="62"/>
      <c r="N66" s="62"/>
      <c r="O66" s="63"/>
      <c r="P66" s="65">
        <f t="shared" si="14"/>
        <v>1133500</v>
      </c>
      <c r="Q66" s="62">
        <f t="shared" si="9"/>
        <v>-396428</v>
      </c>
      <c r="R66" s="63">
        <f t="shared" si="10"/>
        <v>737072</v>
      </c>
    </row>
    <row r="67" spans="1:18" s="9" customFormat="1" ht="63.75" customHeight="1" x14ac:dyDescent="0.2">
      <c r="A67" s="7" t="s">
        <v>232</v>
      </c>
      <c r="B67" s="59">
        <v>1070</v>
      </c>
      <c r="C67" s="59" t="s">
        <v>86</v>
      </c>
      <c r="D67" s="77" t="s">
        <v>33</v>
      </c>
      <c r="E67" s="61">
        <v>14441096</v>
      </c>
      <c r="F67" s="62">
        <f t="shared" si="11"/>
        <v>600000</v>
      </c>
      <c r="G67" s="62">
        <f>64300+376400+5000+10300+144000</f>
        <v>600000</v>
      </c>
      <c r="H67" s="63">
        <f t="shared" si="12"/>
        <v>15041096</v>
      </c>
      <c r="I67" s="64">
        <v>475000</v>
      </c>
      <c r="J67" s="61">
        <f t="shared" ref="J67:J72" si="16">K67+L67</f>
        <v>0</v>
      </c>
      <c r="K67" s="62"/>
      <c r="L67" s="62"/>
      <c r="M67" s="62"/>
      <c r="N67" s="62"/>
      <c r="O67" s="63">
        <f t="shared" si="13"/>
        <v>475000</v>
      </c>
      <c r="P67" s="65">
        <f t="shared" si="14"/>
        <v>14916096</v>
      </c>
      <c r="Q67" s="62">
        <f t="shared" si="9"/>
        <v>600000</v>
      </c>
      <c r="R67" s="63">
        <f t="shared" si="10"/>
        <v>15516096</v>
      </c>
    </row>
    <row r="68" spans="1:18" s="9" customFormat="1" ht="41.25" customHeight="1" x14ac:dyDescent="0.2">
      <c r="A68" s="7"/>
      <c r="B68" s="59"/>
      <c r="C68" s="59"/>
      <c r="D68" s="78" t="s">
        <v>57</v>
      </c>
      <c r="E68" s="61">
        <v>9367900</v>
      </c>
      <c r="F68" s="62">
        <f t="shared" si="11"/>
        <v>0</v>
      </c>
      <c r="G68" s="62"/>
      <c r="H68" s="63">
        <f t="shared" si="12"/>
        <v>9367900</v>
      </c>
      <c r="I68" s="64">
        <v>0</v>
      </c>
      <c r="J68" s="61">
        <f t="shared" si="16"/>
        <v>0</v>
      </c>
      <c r="K68" s="62"/>
      <c r="L68" s="62"/>
      <c r="M68" s="62"/>
      <c r="N68" s="62"/>
      <c r="O68" s="63">
        <f t="shared" si="13"/>
        <v>0</v>
      </c>
      <c r="P68" s="65">
        <f t="shared" si="14"/>
        <v>9367900</v>
      </c>
      <c r="Q68" s="62">
        <f t="shared" si="9"/>
        <v>0</v>
      </c>
      <c r="R68" s="63">
        <f t="shared" si="10"/>
        <v>9367900</v>
      </c>
    </row>
    <row r="69" spans="1:18" s="9" customFormat="1" ht="37.5" customHeight="1" x14ac:dyDescent="0.2">
      <c r="A69" s="7" t="s">
        <v>233</v>
      </c>
      <c r="B69" s="59">
        <v>1090</v>
      </c>
      <c r="C69" s="59" t="s">
        <v>87</v>
      </c>
      <c r="D69" s="77" t="s">
        <v>34</v>
      </c>
      <c r="E69" s="61">
        <v>17524382</v>
      </c>
      <c r="F69" s="62">
        <f t="shared" si="11"/>
        <v>-1774900</v>
      </c>
      <c r="G69" s="62">
        <f>200000-2267600-66100+293300+211800+20000-166300</f>
        <v>-1774900</v>
      </c>
      <c r="H69" s="63">
        <f t="shared" si="12"/>
        <v>15749482</v>
      </c>
      <c r="I69" s="64">
        <v>3300000</v>
      </c>
      <c r="J69" s="61">
        <f t="shared" si="16"/>
        <v>0</v>
      </c>
      <c r="K69" s="62"/>
      <c r="L69" s="62"/>
      <c r="M69" s="62"/>
      <c r="N69" s="62"/>
      <c r="O69" s="63">
        <f t="shared" si="13"/>
        <v>3300000</v>
      </c>
      <c r="P69" s="65">
        <f t="shared" si="14"/>
        <v>20824382</v>
      </c>
      <c r="Q69" s="62">
        <f t="shared" si="9"/>
        <v>-1774900</v>
      </c>
      <c r="R69" s="63">
        <f t="shared" si="10"/>
        <v>19049482</v>
      </c>
    </row>
    <row r="70" spans="1:18" s="9" customFormat="1" ht="29.25" customHeight="1" x14ac:dyDescent="0.2">
      <c r="A70" s="7" t="s">
        <v>234</v>
      </c>
      <c r="B70" s="59" t="s">
        <v>146</v>
      </c>
      <c r="C70" s="59" t="s">
        <v>54</v>
      </c>
      <c r="D70" s="77" t="s">
        <v>147</v>
      </c>
      <c r="E70" s="61">
        <v>113012932</v>
      </c>
      <c r="F70" s="62">
        <f t="shared" si="11"/>
        <v>2983860</v>
      </c>
      <c r="G70" s="62">
        <f>-3142440+3652000+900+457600+1579800+436000</f>
        <v>2983860</v>
      </c>
      <c r="H70" s="63">
        <f t="shared" si="12"/>
        <v>115996792</v>
      </c>
      <c r="I70" s="64">
        <v>11200000</v>
      </c>
      <c r="J70" s="61">
        <f t="shared" si="16"/>
        <v>0</v>
      </c>
      <c r="K70" s="62"/>
      <c r="L70" s="62"/>
      <c r="M70" s="62"/>
      <c r="N70" s="62"/>
      <c r="O70" s="63">
        <f t="shared" si="13"/>
        <v>11200000</v>
      </c>
      <c r="P70" s="65">
        <f>E70+I70</f>
        <v>124212932</v>
      </c>
      <c r="Q70" s="62">
        <f t="shared" si="9"/>
        <v>2983860</v>
      </c>
      <c r="R70" s="63">
        <f t="shared" si="10"/>
        <v>127196792</v>
      </c>
    </row>
    <row r="71" spans="1:18" s="9" customFormat="1" ht="38.25" customHeight="1" x14ac:dyDescent="0.2">
      <c r="A71" s="7"/>
      <c r="B71" s="59"/>
      <c r="C71" s="59"/>
      <c r="D71" s="78" t="s">
        <v>57</v>
      </c>
      <c r="E71" s="61">
        <v>16511200</v>
      </c>
      <c r="F71" s="62">
        <f t="shared" si="11"/>
        <v>0</v>
      </c>
      <c r="G71" s="62"/>
      <c r="H71" s="63">
        <f t="shared" si="12"/>
        <v>16511200</v>
      </c>
      <c r="I71" s="64"/>
      <c r="J71" s="61">
        <f t="shared" si="16"/>
        <v>0</v>
      </c>
      <c r="K71" s="62"/>
      <c r="L71" s="62"/>
      <c r="M71" s="62"/>
      <c r="N71" s="62"/>
      <c r="O71" s="63"/>
      <c r="P71" s="65">
        <f t="shared" si="14"/>
        <v>16511200</v>
      </c>
      <c r="Q71" s="62">
        <f t="shared" si="9"/>
        <v>0</v>
      </c>
      <c r="R71" s="63">
        <f t="shared" si="10"/>
        <v>16511200</v>
      </c>
    </row>
    <row r="72" spans="1:18" s="9" customFormat="1" ht="38.25" customHeight="1" x14ac:dyDescent="0.2">
      <c r="A72" s="7"/>
      <c r="B72" s="59"/>
      <c r="C72" s="59"/>
      <c r="D72" s="78" t="s">
        <v>525</v>
      </c>
      <c r="E72" s="61">
        <v>5000</v>
      </c>
      <c r="F72" s="62">
        <f t="shared" si="11"/>
        <v>0</v>
      </c>
      <c r="G72" s="62"/>
      <c r="H72" s="63">
        <f t="shared" si="12"/>
        <v>5000</v>
      </c>
      <c r="I72" s="64"/>
      <c r="J72" s="61">
        <f t="shared" si="16"/>
        <v>0</v>
      </c>
      <c r="K72" s="62"/>
      <c r="L72" s="62"/>
      <c r="M72" s="62"/>
      <c r="N72" s="62"/>
      <c r="O72" s="63"/>
      <c r="P72" s="65">
        <f t="shared" si="14"/>
        <v>5000</v>
      </c>
      <c r="Q72" s="62">
        <f t="shared" si="9"/>
        <v>0</v>
      </c>
      <c r="R72" s="63">
        <f t="shared" si="10"/>
        <v>5000</v>
      </c>
    </row>
    <row r="73" spans="1:18" s="9" customFormat="1" ht="24.75" customHeight="1" x14ac:dyDescent="0.2">
      <c r="A73" s="7" t="s">
        <v>235</v>
      </c>
      <c r="B73" s="59">
        <v>1140</v>
      </c>
      <c r="C73" s="59" t="s">
        <v>88</v>
      </c>
      <c r="D73" s="77" t="s">
        <v>148</v>
      </c>
      <c r="E73" s="61">
        <v>50000</v>
      </c>
      <c r="F73" s="62">
        <f t="shared" si="11"/>
        <v>0</v>
      </c>
      <c r="G73" s="62"/>
      <c r="H73" s="63">
        <f t="shared" si="12"/>
        <v>50000</v>
      </c>
      <c r="I73" s="64">
        <v>0</v>
      </c>
      <c r="J73" s="61">
        <f t="shared" ref="J73:J82" si="17">K73+L73</f>
        <v>0</v>
      </c>
      <c r="K73" s="62"/>
      <c r="L73" s="62"/>
      <c r="M73" s="62"/>
      <c r="N73" s="62"/>
      <c r="O73" s="63">
        <f t="shared" si="13"/>
        <v>0</v>
      </c>
      <c r="P73" s="65">
        <f t="shared" si="14"/>
        <v>50000</v>
      </c>
      <c r="Q73" s="62">
        <f t="shared" si="9"/>
        <v>0</v>
      </c>
      <c r="R73" s="63">
        <f t="shared" si="10"/>
        <v>50000</v>
      </c>
    </row>
    <row r="74" spans="1:18" s="9" customFormat="1" ht="24" customHeight="1" x14ac:dyDescent="0.2">
      <c r="A74" s="7" t="s">
        <v>236</v>
      </c>
      <c r="B74" s="59" t="s">
        <v>149</v>
      </c>
      <c r="C74" s="59" t="s">
        <v>89</v>
      </c>
      <c r="D74" s="77" t="s">
        <v>150</v>
      </c>
      <c r="E74" s="61">
        <v>3309500</v>
      </c>
      <c r="F74" s="62">
        <f t="shared" si="11"/>
        <v>0</v>
      </c>
      <c r="G74" s="62"/>
      <c r="H74" s="63">
        <f t="shared" si="12"/>
        <v>3309500</v>
      </c>
      <c r="I74" s="64">
        <v>0</v>
      </c>
      <c r="J74" s="61">
        <f t="shared" si="17"/>
        <v>0</v>
      </c>
      <c r="K74" s="62"/>
      <c r="L74" s="62"/>
      <c r="M74" s="62"/>
      <c r="N74" s="62"/>
      <c r="O74" s="63">
        <f t="shared" si="13"/>
        <v>0</v>
      </c>
      <c r="P74" s="65">
        <f t="shared" si="14"/>
        <v>3309500</v>
      </c>
      <c r="Q74" s="62">
        <f t="shared" si="9"/>
        <v>0</v>
      </c>
      <c r="R74" s="63">
        <f t="shared" si="10"/>
        <v>3309500</v>
      </c>
    </row>
    <row r="75" spans="1:18" s="9" customFormat="1" ht="21.95" customHeight="1" x14ac:dyDescent="0.2">
      <c r="A75" s="7" t="s">
        <v>490</v>
      </c>
      <c r="B75" s="59" t="s">
        <v>492</v>
      </c>
      <c r="C75" s="59" t="s">
        <v>89</v>
      </c>
      <c r="D75" s="77" t="s">
        <v>494</v>
      </c>
      <c r="E75" s="61">
        <v>17700828</v>
      </c>
      <c r="F75" s="62">
        <f t="shared" si="11"/>
        <v>327600</v>
      </c>
      <c r="G75" s="62">
        <f>20000+7000+200000+67300+33300</f>
        <v>327600</v>
      </c>
      <c r="H75" s="63">
        <f t="shared" si="12"/>
        <v>18028428</v>
      </c>
      <c r="I75" s="64">
        <v>1090910</v>
      </c>
      <c r="J75" s="61">
        <f t="shared" si="17"/>
        <v>0</v>
      </c>
      <c r="K75" s="62"/>
      <c r="L75" s="62"/>
      <c r="M75" s="62"/>
      <c r="N75" s="62"/>
      <c r="O75" s="63">
        <f t="shared" si="13"/>
        <v>1090910</v>
      </c>
      <c r="P75" s="65">
        <f t="shared" si="14"/>
        <v>18791738</v>
      </c>
      <c r="Q75" s="62">
        <f t="shared" si="9"/>
        <v>327600</v>
      </c>
      <c r="R75" s="63">
        <f t="shared" si="10"/>
        <v>19119338</v>
      </c>
    </row>
    <row r="76" spans="1:18" s="9" customFormat="1" ht="23.45" customHeight="1" x14ac:dyDescent="0.2">
      <c r="A76" s="7" t="s">
        <v>491</v>
      </c>
      <c r="B76" s="59" t="s">
        <v>493</v>
      </c>
      <c r="C76" s="59" t="s">
        <v>89</v>
      </c>
      <c r="D76" s="60" t="s">
        <v>495</v>
      </c>
      <c r="E76" s="61">
        <v>705190</v>
      </c>
      <c r="F76" s="62">
        <f t="shared" si="11"/>
        <v>0</v>
      </c>
      <c r="G76" s="62"/>
      <c r="H76" s="63">
        <f t="shared" si="12"/>
        <v>705190</v>
      </c>
      <c r="I76" s="64">
        <v>29810</v>
      </c>
      <c r="J76" s="61">
        <f t="shared" si="17"/>
        <v>0</v>
      </c>
      <c r="K76" s="62"/>
      <c r="L76" s="62"/>
      <c r="M76" s="62"/>
      <c r="N76" s="62"/>
      <c r="O76" s="63">
        <f t="shared" si="13"/>
        <v>29810</v>
      </c>
      <c r="P76" s="65">
        <f t="shared" si="14"/>
        <v>735000</v>
      </c>
      <c r="Q76" s="62">
        <f t="shared" si="9"/>
        <v>0</v>
      </c>
      <c r="R76" s="63">
        <f t="shared" si="10"/>
        <v>735000</v>
      </c>
    </row>
    <row r="77" spans="1:18" s="9" customFormat="1" ht="27.75" customHeight="1" x14ac:dyDescent="0.2">
      <c r="A77" s="7"/>
      <c r="B77" s="59"/>
      <c r="C77" s="59"/>
      <c r="D77" s="66" t="s">
        <v>83</v>
      </c>
      <c r="E77" s="61">
        <v>500000</v>
      </c>
      <c r="F77" s="62">
        <f>G77</f>
        <v>0</v>
      </c>
      <c r="G77" s="62"/>
      <c r="H77" s="63">
        <f>E77+F77</f>
        <v>500000</v>
      </c>
      <c r="I77" s="64">
        <v>0</v>
      </c>
      <c r="J77" s="61">
        <f>K77+L77</f>
        <v>0</v>
      </c>
      <c r="K77" s="62"/>
      <c r="L77" s="62"/>
      <c r="M77" s="62"/>
      <c r="N77" s="62"/>
      <c r="O77" s="63">
        <f>I77+J77</f>
        <v>0</v>
      </c>
      <c r="P77" s="65">
        <f>E77+I77</f>
        <v>500000</v>
      </c>
      <c r="Q77" s="62">
        <f>F77+J77</f>
        <v>0</v>
      </c>
      <c r="R77" s="63">
        <f>H77+O77</f>
        <v>500000</v>
      </c>
    </row>
    <row r="78" spans="1:18" s="9" customFormat="1" ht="21.95" customHeight="1" x14ac:dyDescent="0.2">
      <c r="A78" s="7" t="s">
        <v>237</v>
      </c>
      <c r="B78" s="59" t="s">
        <v>151</v>
      </c>
      <c r="C78" s="59" t="s">
        <v>90</v>
      </c>
      <c r="D78" s="60" t="s">
        <v>152</v>
      </c>
      <c r="E78" s="61">
        <v>3394700</v>
      </c>
      <c r="F78" s="62">
        <f t="shared" si="11"/>
        <v>277800</v>
      </c>
      <c r="G78" s="62">
        <f>5900+197500+71700+2700</f>
        <v>277800</v>
      </c>
      <c r="H78" s="63">
        <f>E78+F78</f>
        <v>3672500</v>
      </c>
      <c r="I78" s="64">
        <v>1350000</v>
      </c>
      <c r="J78" s="61">
        <f t="shared" si="17"/>
        <v>0</v>
      </c>
      <c r="K78" s="62"/>
      <c r="L78" s="62">
        <f>-160228+160228</f>
        <v>0</v>
      </c>
      <c r="M78" s="62">
        <f>-160228+160228</f>
        <v>0</v>
      </c>
      <c r="N78" s="62">
        <f>-160228</f>
        <v>-160228</v>
      </c>
      <c r="O78" s="63">
        <f t="shared" si="13"/>
        <v>1350000</v>
      </c>
      <c r="P78" s="65">
        <f t="shared" si="14"/>
        <v>4744700</v>
      </c>
      <c r="Q78" s="62">
        <f t="shared" si="9"/>
        <v>277800</v>
      </c>
      <c r="R78" s="63">
        <f t="shared" si="10"/>
        <v>5022500</v>
      </c>
    </row>
    <row r="79" spans="1:18" s="9" customFormat="1" ht="63" customHeight="1" x14ac:dyDescent="0.2">
      <c r="A79" s="7" t="s">
        <v>238</v>
      </c>
      <c r="B79" s="59" t="s">
        <v>153</v>
      </c>
      <c r="C79" s="59" t="s">
        <v>90</v>
      </c>
      <c r="D79" s="77" t="s">
        <v>154</v>
      </c>
      <c r="E79" s="61">
        <v>228240</v>
      </c>
      <c r="F79" s="62">
        <f t="shared" si="11"/>
        <v>0</v>
      </c>
      <c r="G79" s="62"/>
      <c r="H79" s="63">
        <f t="shared" si="12"/>
        <v>228240</v>
      </c>
      <c r="I79" s="64">
        <v>0</v>
      </c>
      <c r="J79" s="61">
        <f t="shared" si="17"/>
        <v>0</v>
      </c>
      <c r="K79" s="62"/>
      <c r="L79" s="62"/>
      <c r="M79" s="62"/>
      <c r="N79" s="62"/>
      <c r="O79" s="63">
        <f t="shared" si="13"/>
        <v>0</v>
      </c>
      <c r="P79" s="65">
        <f>E79+I79</f>
        <v>228240</v>
      </c>
      <c r="Q79" s="62">
        <f t="shared" si="9"/>
        <v>0</v>
      </c>
      <c r="R79" s="63">
        <f t="shared" si="10"/>
        <v>228240</v>
      </c>
    </row>
    <row r="80" spans="1:18" s="9" customFormat="1" ht="33" customHeight="1" x14ac:dyDescent="0.2">
      <c r="A80" s="7" t="s">
        <v>239</v>
      </c>
      <c r="B80" s="59" t="s">
        <v>126</v>
      </c>
      <c r="C80" s="59" t="s">
        <v>91</v>
      </c>
      <c r="D80" s="77" t="s">
        <v>115</v>
      </c>
      <c r="E80" s="61">
        <v>16039484</v>
      </c>
      <c r="F80" s="62">
        <f t="shared" si="11"/>
        <v>182700</v>
      </c>
      <c r="G80" s="62">
        <f>21600+3000+6000+60600+91500</f>
        <v>182700</v>
      </c>
      <c r="H80" s="63">
        <f t="shared" si="12"/>
        <v>16222184</v>
      </c>
      <c r="I80" s="64">
        <v>1061700</v>
      </c>
      <c r="J80" s="61">
        <f t="shared" si="17"/>
        <v>0</v>
      </c>
      <c r="K80" s="62"/>
      <c r="L80" s="62">
        <f>-1350+1350</f>
        <v>0</v>
      </c>
      <c r="M80" s="62">
        <f>-1350+1350</f>
        <v>0</v>
      </c>
      <c r="N80" s="62">
        <f>-1350</f>
        <v>-1350</v>
      </c>
      <c r="O80" s="63">
        <f t="shared" si="13"/>
        <v>1061700</v>
      </c>
      <c r="P80" s="65">
        <f t="shared" si="14"/>
        <v>17101184</v>
      </c>
      <c r="Q80" s="62">
        <f t="shared" si="9"/>
        <v>182700</v>
      </c>
      <c r="R80" s="63">
        <f t="shared" si="10"/>
        <v>17283884</v>
      </c>
    </row>
    <row r="81" spans="1:19" s="9" customFormat="1" ht="21.95" hidden="1" customHeight="1" x14ac:dyDescent="0.2">
      <c r="A81" s="7">
        <v>1016310</v>
      </c>
      <c r="B81" s="59">
        <v>6310</v>
      </c>
      <c r="C81" s="59" t="s">
        <v>77</v>
      </c>
      <c r="D81" s="60" t="s">
        <v>35</v>
      </c>
      <c r="E81" s="61">
        <v>0</v>
      </c>
      <c r="F81" s="62">
        <f t="shared" si="11"/>
        <v>0</v>
      </c>
      <c r="G81" s="62"/>
      <c r="H81" s="63">
        <f t="shared" si="12"/>
        <v>0</v>
      </c>
      <c r="I81" s="64">
        <v>0</v>
      </c>
      <c r="J81" s="61">
        <f t="shared" si="17"/>
        <v>0</v>
      </c>
      <c r="K81" s="62"/>
      <c r="L81" s="62"/>
      <c r="M81" s="62"/>
      <c r="N81" s="62"/>
      <c r="O81" s="63">
        <f t="shared" si="13"/>
        <v>0</v>
      </c>
      <c r="P81" s="65">
        <f t="shared" si="14"/>
        <v>0</v>
      </c>
      <c r="Q81" s="62">
        <f t="shared" si="9"/>
        <v>0</v>
      </c>
      <c r="R81" s="63">
        <f t="shared" si="10"/>
        <v>0</v>
      </c>
    </row>
    <row r="82" spans="1:19" s="9" customFormat="1" ht="37.5" customHeight="1" x14ac:dyDescent="0.2">
      <c r="A82" s="7" t="s">
        <v>500</v>
      </c>
      <c r="B82" s="59" t="s">
        <v>501</v>
      </c>
      <c r="C82" s="31" t="s">
        <v>77</v>
      </c>
      <c r="D82" s="79" t="s">
        <v>502</v>
      </c>
      <c r="E82" s="61"/>
      <c r="F82" s="62"/>
      <c r="G82" s="62"/>
      <c r="H82" s="63"/>
      <c r="I82" s="64">
        <v>1824250</v>
      </c>
      <c r="J82" s="61">
        <f t="shared" si="17"/>
        <v>0</v>
      </c>
      <c r="K82" s="62"/>
      <c r="L82" s="62"/>
      <c r="M82" s="62"/>
      <c r="N82" s="62"/>
      <c r="O82" s="63">
        <f t="shared" si="13"/>
        <v>1824250</v>
      </c>
      <c r="P82" s="65">
        <f t="shared" si="14"/>
        <v>1824250</v>
      </c>
      <c r="Q82" s="62">
        <f t="shared" si="9"/>
        <v>0</v>
      </c>
      <c r="R82" s="63">
        <f t="shared" si="10"/>
        <v>1824250</v>
      </c>
    </row>
    <row r="83" spans="1:19" s="9" customFormat="1" ht="81.75" customHeight="1" x14ac:dyDescent="0.2">
      <c r="A83" s="7" t="s">
        <v>434</v>
      </c>
      <c r="B83" s="59" t="s">
        <v>432</v>
      </c>
      <c r="C83" s="59" t="s">
        <v>77</v>
      </c>
      <c r="D83" s="60" t="s">
        <v>433</v>
      </c>
      <c r="E83" s="61"/>
      <c r="F83" s="62"/>
      <c r="G83" s="62"/>
      <c r="H83" s="63"/>
      <c r="I83" s="64">
        <v>4614800</v>
      </c>
      <c r="J83" s="61">
        <f>K83+L83</f>
        <v>0</v>
      </c>
      <c r="K83" s="62"/>
      <c r="L83" s="62"/>
      <c r="M83" s="62"/>
      <c r="N83" s="62"/>
      <c r="O83" s="63">
        <f t="shared" si="13"/>
        <v>4614800</v>
      </c>
      <c r="P83" s="65">
        <f>E83+I83</f>
        <v>4614800</v>
      </c>
      <c r="Q83" s="62">
        <f t="shared" si="9"/>
        <v>0</v>
      </c>
      <c r="R83" s="63">
        <f t="shared" si="10"/>
        <v>4614800</v>
      </c>
    </row>
    <row r="84" spans="1:19" s="9" customFormat="1" ht="26.25" customHeight="1" x14ac:dyDescent="0.2">
      <c r="A84" s="7" t="s">
        <v>508</v>
      </c>
      <c r="B84" s="59" t="s">
        <v>165</v>
      </c>
      <c r="C84" s="59" t="s">
        <v>58</v>
      </c>
      <c r="D84" s="60" t="s">
        <v>23</v>
      </c>
      <c r="E84" s="61"/>
      <c r="F84" s="62"/>
      <c r="G84" s="62"/>
      <c r="H84" s="63"/>
      <c r="I84" s="64">
        <v>325000</v>
      </c>
      <c r="J84" s="61">
        <f>K84+L84</f>
        <v>0</v>
      </c>
      <c r="K84" s="62"/>
      <c r="L84" s="62"/>
      <c r="M84" s="62"/>
      <c r="N84" s="62"/>
      <c r="O84" s="63">
        <f t="shared" si="13"/>
        <v>325000</v>
      </c>
      <c r="P84" s="65">
        <f>E84+I84</f>
        <v>325000</v>
      </c>
      <c r="Q84" s="62">
        <f t="shared" si="9"/>
        <v>0</v>
      </c>
      <c r="R84" s="63">
        <f t="shared" si="10"/>
        <v>325000</v>
      </c>
    </row>
    <row r="85" spans="1:19" s="5" customFormat="1" ht="25.5" customHeight="1" x14ac:dyDescent="0.2">
      <c r="A85" s="11" t="s">
        <v>180</v>
      </c>
      <c r="B85" s="48"/>
      <c r="C85" s="48"/>
      <c r="D85" s="49" t="s">
        <v>156</v>
      </c>
      <c r="E85" s="80">
        <v>276154771</v>
      </c>
      <c r="F85" s="51">
        <f>F87+F88+F90+F92+F94+F96+F103+F105</f>
        <v>17184100.300000001</v>
      </c>
      <c r="G85" s="51">
        <f>G87+G88+G90+G92+G94+G96+G103+G105</f>
        <v>17184100.300000001</v>
      </c>
      <c r="H85" s="81">
        <f>H87+H88+H90+H92+H94+H96+H103+H105</f>
        <v>293333870.80000001</v>
      </c>
      <c r="I85" s="73">
        <v>42223422</v>
      </c>
      <c r="J85" s="50">
        <f t="shared" ref="J85:O85" si="18">J88+J90+J92+J94+J105++J87+J108+J96+J107</f>
        <v>2561000</v>
      </c>
      <c r="K85" s="51">
        <f t="shared" si="18"/>
        <v>26719</v>
      </c>
      <c r="L85" s="51">
        <f t="shared" si="18"/>
        <v>2534281</v>
      </c>
      <c r="M85" s="51">
        <f t="shared" si="18"/>
        <v>2561000</v>
      </c>
      <c r="N85" s="51">
        <f t="shared" si="18"/>
        <v>816638</v>
      </c>
      <c r="O85" s="55">
        <f t="shared" si="18"/>
        <v>44784422</v>
      </c>
      <c r="P85" s="56">
        <f>E85+I85</f>
        <v>318378193</v>
      </c>
      <c r="Q85" s="82">
        <f>F85+J85</f>
        <v>19745100.300000001</v>
      </c>
      <c r="R85" s="83">
        <f>H85+O85</f>
        <v>338118292.80000001</v>
      </c>
      <c r="S85" s="15"/>
    </row>
    <row r="86" spans="1:19" s="5" customFormat="1" ht="26.25" customHeight="1" x14ac:dyDescent="0.2">
      <c r="A86" s="11" t="s">
        <v>181</v>
      </c>
      <c r="B86" s="48"/>
      <c r="C86" s="48"/>
      <c r="D86" s="49" t="s">
        <v>156</v>
      </c>
      <c r="E86" s="50"/>
      <c r="F86" s="82"/>
      <c r="G86" s="82"/>
      <c r="H86" s="83"/>
      <c r="I86" s="84"/>
      <c r="J86" s="54"/>
      <c r="K86" s="51"/>
      <c r="L86" s="51"/>
      <c r="M86" s="51"/>
      <c r="N86" s="51"/>
      <c r="O86" s="55"/>
      <c r="P86" s="85"/>
      <c r="Q86" s="86"/>
      <c r="R86" s="87"/>
    </row>
    <row r="87" spans="1:19" s="16" customFormat="1" ht="26.25" customHeight="1" x14ac:dyDescent="0.2">
      <c r="A87" s="7" t="s">
        <v>182</v>
      </c>
      <c r="B87" s="59" t="s">
        <v>121</v>
      </c>
      <c r="C87" s="59" t="s">
        <v>66</v>
      </c>
      <c r="D87" s="60" t="s">
        <v>155</v>
      </c>
      <c r="E87" s="61">
        <v>1507000</v>
      </c>
      <c r="F87" s="88">
        <f>G87</f>
        <v>258200</v>
      </c>
      <c r="G87" s="88">
        <f>75000+160000+23200</f>
        <v>258200</v>
      </c>
      <c r="H87" s="63">
        <f>E87+F87</f>
        <v>1765200</v>
      </c>
      <c r="I87" s="64">
        <v>105000</v>
      </c>
      <c r="J87" s="61">
        <f>K87+L87</f>
        <v>0</v>
      </c>
      <c r="K87" s="62"/>
      <c r="L87" s="62"/>
      <c r="M87" s="62"/>
      <c r="N87" s="62"/>
      <c r="O87" s="63">
        <f>I87+J87</f>
        <v>105000</v>
      </c>
      <c r="P87" s="65">
        <f t="shared" ref="P87:P108" si="19">E87+I87</f>
        <v>1612000</v>
      </c>
      <c r="Q87" s="89">
        <f t="shared" ref="Q87:Q107" si="20">F87+J87</f>
        <v>258200</v>
      </c>
      <c r="R87" s="90">
        <f t="shared" ref="R87:R108" si="21">H87+O87</f>
        <v>1870200</v>
      </c>
    </row>
    <row r="88" spans="1:19" s="9" customFormat="1" ht="23.45" customHeight="1" x14ac:dyDescent="0.2">
      <c r="A88" s="7" t="s">
        <v>183</v>
      </c>
      <c r="B88" s="59">
        <v>2010</v>
      </c>
      <c r="C88" s="59" t="s">
        <v>60</v>
      </c>
      <c r="D88" s="60" t="s">
        <v>36</v>
      </c>
      <c r="E88" s="61">
        <v>118951601.15000001</v>
      </c>
      <c r="F88" s="88">
        <f>5145596+33000</f>
        <v>5178596</v>
      </c>
      <c r="G88" s="88">
        <v>5178596</v>
      </c>
      <c r="H88" s="63">
        <f t="shared" ref="H88:H106" si="22">E88+F88</f>
        <v>124130197.15000001</v>
      </c>
      <c r="I88" s="91">
        <v>14227884</v>
      </c>
      <c r="J88" s="61">
        <f>K88+L88</f>
        <v>1200000</v>
      </c>
      <c r="K88" s="62"/>
      <c r="L88" s="62">
        <f>212824+987176</f>
        <v>1200000</v>
      </c>
      <c r="M88" s="62">
        <f>212824+987176</f>
        <v>1200000</v>
      </c>
      <c r="N88" s="62">
        <f>212824</f>
        <v>212824</v>
      </c>
      <c r="O88" s="63">
        <f t="shared" ref="O88:O108" si="23">I88+J88</f>
        <v>15427884</v>
      </c>
      <c r="P88" s="65">
        <f t="shared" si="19"/>
        <v>133179485.15000001</v>
      </c>
      <c r="Q88" s="89">
        <f t="shared" si="20"/>
        <v>6378596</v>
      </c>
      <c r="R88" s="90">
        <f t="shared" si="21"/>
        <v>139558081.15000001</v>
      </c>
    </row>
    <row r="89" spans="1:19" s="17" customFormat="1" ht="37.5" customHeight="1" x14ac:dyDescent="0.2">
      <c r="A89" s="7"/>
      <c r="B89" s="59"/>
      <c r="C89" s="59"/>
      <c r="D89" s="69" t="s">
        <v>59</v>
      </c>
      <c r="E89" s="61">
        <v>94463825.5</v>
      </c>
      <c r="F89" s="88">
        <f t="shared" ref="F89:F106" si="24">G89</f>
        <v>-396256</v>
      </c>
      <c r="G89" s="88">
        <v>-396256</v>
      </c>
      <c r="H89" s="63">
        <f t="shared" si="22"/>
        <v>94067569.5</v>
      </c>
      <c r="I89" s="91">
        <v>0</v>
      </c>
      <c r="J89" s="61">
        <f>K89+L89</f>
        <v>0</v>
      </c>
      <c r="K89" s="62"/>
      <c r="L89" s="62"/>
      <c r="M89" s="62"/>
      <c r="N89" s="62"/>
      <c r="O89" s="63">
        <f t="shared" si="23"/>
        <v>0</v>
      </c>
      <c r="P89" s="65">
        <f t="shared" si="19"/>
        <v>94463825.5</v>
      </c>
      <c r="Q89" s="89">
        <f t="shared" si="20"/>
        <v>-396256</v>
      </c>
      <c r="R89" s="90">
        <f t="shared" si="21"/>
        <v>94067569.5</v>
      </c>
    </row>
    <row r="90" spans="1:19" s="9" customFormat="1" ht="33" customHeight="1" x14ac:dyDescent="0.2">
      <c r="A90" s="7" t="s">
        <v>184</v>
      </c>
      <c r="B90" s="59" t="s">
        <v>157</v>
      </c>
      <c r="C90" s="59" t="s">
        <v>61</v>
      </c>
      <c r="D90" s="60" t="s">
        <v>44</v>
      </c>
      <c r="E90" s="61">
        <v>37865686.25</v>
      </c>
      <c r="F90" s="88">
        <f t="shared" si="24"/>
        <v>3926050.25</v>
      </c>
      <c r="G90" s="88">
        <f>364597+35052.25+380000+1600000+300000+37335+1204066+5000</f>
        <v>3926050.25</v>
      </c>
      <c r="H90" s="63">
        <v>41786736</v>
      </c>
      <c r="I90" s="91">
        <v>7224938</v>
      </c>
      <c r="J90" s="61">
        <f>K90+L90</f>
        <v>768186</v>
      </c>
      <c r="K90" s="62"/>
      <c r="L90" s="62">
        <f>11000+757186</f>
        <v>768186</v>
      </c>
      <c r="M90" s="62">
        <f>11000+757186</f>
        <v>768186</v>
      </c>
      <c r="N90" s="62">
        <f>11000</f>
        <v>11000</v>
      </c>
      <c r="O90" s="63">
        <f t="shared" si="23"/>
        <v>7993124</v>
      </c>
      <c r="P90" s="65">
        <f t="shared" si="19"/>
        <v>45090624.25</v>
      </c>
      <c r="Q90" s="89">
        <f t="shared" si="20"/>
        <v>4694236.25</v>
      </c>
      <c r="R90" s="90">
        <f t="shared" si="21"/>
        <v>49779860</v>
      </c>
    </row>
    <row r="91" spans="1:19" s="9" customFormat="1" ht="40.5" customHeight="1" x14ac:dyDescent="0.2">
      <c r="A91" s="7"/>
      <c r="B91" s="59"/>
      <c r="C91" s="59"/>
      <c r="D91" s="69" t="s">
        <v>59</v>
      </c>
      <c r="E91" s="61">
        <v>28325200</v>
      </c>
      <c r="F91" s="88">
        <f t="shared" si="24"/>
        <v>-44000</v>
      </c>
      <c r="G91" s="88">
        <v>-44000</v>
      </c>
      <c r="H91" s="63">
        <f t="shared" si="22"/>
        <v>28281200</v>
      </c>
      <c r="I91" s="91">
        <v>0</v>
      </c>
      <c r="J91" s="61"/>
      <c r="K91" s="62"/>
      <c r="L91" s="62"/>
      <c r="M91" s="62"/>
      <c r="N91" s="62"/>
      <c r="O91" s="63">
        <f t="shared" si="23"/>
        <v>0</v>
      </c>
      <c r="P91" s="65">
        <f t="shared" si="19"/>
        <v>28325200</v>
      </c>
      <c r="Q91" s="89">
        <f t="shared" si="20"/>
        <v>-44000</v>
      </c>
      <c r="R91" s="90">
        <f t="shared" si="21"/>
        <v>28281200</v>
      </c>
    </row>
    <row r="92" spans="1:19" s="9" customFormat="1" ht="24.75" customHeight="1" x14ac:dyDescent="0.2">
      <c r="A92" s="7" t="s">
        <v>185</v>
      </c>
      <c r="B92" s="59" t="s">
        <v>158</v>
      </c>
      <c r="C92" s="59" t="s">
        <v>62</v>
      </c>
      <c r="D92" s="60" t="s">
        <v>422</v>
      </c>
      <c r="E92" s="61">
        <v>42584078.530000001</v>
      </c>
      <c r="F92" s="88">
        <f>13571106+1</f>
        <v>13571107</v>
      </c>
      <c r="G92" s="88">
        <f>13571106+1</f>
        <v>13571107</v>
      </c>
      <c r="H92" s="63">
        <f t="shared" si="22"/>
        <v>56155185.530000001</v>
      </c>
      <c r="I92" s="91">
        <v>16881400</v>
      </c>
      <c r="J92" s="61">
        <f>K92+L92</f>
        <v>-207186</v>
      </c>
      <c r="K92" s="62"/>
      <c r="L92" s="62">
        <f>-207186</f>
        <v>-207186</v>
      </c>
      <c r="M92" s="62">
        <f>-207186</f>
        <v>-207186</v>
      </c>
      <c r="N92" s="62">
        <f>-207186</f>
        <v>-207186</v>
      </c>
      <c r="O92" s="63">
        <f t="shared" si="23"/>
        <v>16674214</v>
      </c>
      <c r="P92" s="65">
        <f t="shared" si="19"/>
        <v>59465478.530000001</v>
      </c>
      <c r="Q92" s="89">
        <f t="shared" si="20"/>
        <v>13363921</v>
      </c>
      <c r="R92" s="90">
        <f t="shared" si="21"/>
        <v>72829399.530000001</v>
      </c>
    </row>
    <row r="93" spans="1:19" s="17" customFormat="1" ht="33.75" customHeight="1" x14ac:dyDescent="0.2">
      <c r="A93" s="7"/>
      <c r="B93" s="59"/>
      <c r="C93" s="59"/>
      <c r="D93" s="69" t="s">
        <v>59</v>
      </c>
      <c r="E93" s="61">
        <v>28306974.5</v>
      </c>
      <c r="F93" s="88">
        <f t="shared" si="24"/>
        <v>7977068</v>
      </c>
      <c r="G93" s="88">
        <v>7977068</v>
      </c>
      <c r="H93" s="63">
        <f t="shared" si="22"/>
        <v>36284042.5</v>
      </c>
      <c r="I93" s="91">
        <v>0</v>
      </c>
      <c r="J93" s="61"/>
      <c r="K93" s="62"/>
      <c r="L93" s="62"/>
      <c r="M93" s="62"/>
      <c r="N93" s="62"/>
      <c r="O93" s="63">
        <f t="shared" si="23"/>
        <v>0</v>
      </c>
      <c r="P93" s="65">
        <f t="shared" si="19"/>
        <v>28306974.5</v>
      </c>
      <c r="Q93" s="89">
        <f t="shared" si="20"/>
        <v>7977068</v>
      </c>
      <c r="R93" s="90">
        <f t="shared" si="21"/>
        <v>36284042.5</v>
      </c>
    </row>
    <row r="94" spans="1:19" s="9" customFormat="1" ht="19.5" customHeight="1" x14ac:dyDescent="0.2">
      <c r="A94" s="7" t="s">
        <v>186</v>
      </c>
      <c r="B94" s="59" t="s">
        <v>159</v>
      </c>
      <c r="C94" s="59" t="s">
        <v>63</v>
      </c>
      <c r="D94" s="60" t="s">
        <v>160</v>
      </c>
      <c r="E94" s="61">
        <v>14729405</v>
      </c>
      <c r="F94" s="88">
        <f t="shared" si="24"/>
        <v>1132371</v>
      </c>
      <c r="G94" s="88">
        <f>207705+725000+199666</f>
        <v>1132371</v>
      </c>
      <c r="H94" s="63">
        <f t="shared" si="22"/>
        <v>15861776</v>
      </c>
      <c r="I94" s="91">
        <v>1089400</v>
      </c>
      <c r="J94" s="61">
        <f>K94+L94</f>
        <v>0</v>
      </c>
      <c r="K94" s="62"/>
      <c r="L94" s="62"/>
      <c r="M94" s="62"/>
      <c r="N94" s="62"/>
      <c r="O94" s="63">
        <f t="shared" si="23"/>
        <v>1089400</v>
      </c>
      <c r="P94" s="65">
        <f t="shared" si="19"/>
        <v>15818805</v>
      </c>
      <c r="Q94" s="89">
        <f t="shared" si="20"/>
        <v>1132371</v>
      </c>
      <c r="R94" s="90">
        <f t="shared" si="21"/>
        <v>16951176</v>
      </c>
    </row>
    <row r="95" spans="1:19" s="9" customFormat="1" ht="29.25" customHeight="1" x14ac:dyDescent="0.2">
      <c r="A95" s="7"/>
      <c r="B95" s="59"/>
      <c r="C95" s="59"/>
      <c r="D95" s="69" t="s">
        <v>59</v>
      </c>
      <c r="E95" s="61">
        <v>13136100</v>
      </c>
      <c r="F95" s="88">
        <f t="shared" si="24"/>
        <v>0</v>
      </c>
      <c r="G95" s="88"/>
      <c r="H95" s="63">
        <f t="shared" si="22"/>
        <v>13136100</v>
      </c>
      <c r="I95" s="91">
        <v>0</v>
      </c>
      <c r="J95" s="61">
        <f t="shared" ref="J95:J104" si="25">K95+L95</f>
        <v>0</v>
      </c>
      <c r="K95" s="62"/>
      <c r="L95" s="62"/>
      <c r="M95" s="62"/>
      <c r="N95" s="62"/>
      <c r="O95" s="63">
        <f t="shared" si="23"/>
        <v>0</v>
      </c>
      <c r="P95" s="65">
        <f t="shared" si="19"/>
        <v>13136100</v>
      </c>
      <c r="Q95" s="89">
        <f t="shared" si="20"/>
        <v>0</v>
      </c>
      <c r="R95" s="90">
        <f t="shared" si="21"/>
        <v>13136100</v>
      </c>
    </row>
    <row r="96" spans="1:19" s="9" customFormat="1" ht="37.9" customHeight="1" x14ac:dyDescent="0.2">
      <c r="A96" s="7" t="s">
        <v>467</v>
      </c>
      <c r="B96" s="59" t="s">
        <v>468</v>
      </c>
      <c r="C96" s="59" t="s">
        <v>62</v>
      </c>
      <c r="D96" s="92" t="s">
        <v>473</v>
      </c>
      <c r="E96" s="61">
        <v>53660300.07</v>
      </c>
      <c r="F96" s="89">
        <f t="shared" si="24"/>
        <v>-6982223.9499999993</v>
      </c>
      <c r="G96" s="62">
        <f>16503400+634376-40894.93+2616000+176750+8769-19898400-6982225.02+1</f>
        <v>-6982223.9499999993</v>
      </c>
      <c r="H96" s="63">
        <f t="shared" si="22"/>
        <v>46678076.120000005</v>
      </c>
      <c r="I96" s="91">
        <v>144800</v>
      </c>
      <c r="J96" s="61">
        <f t="shared" si="25"/>
        <v>300000</v>
      </c>
      <c r="K96" s="62"/>
      <c r="L96" s="62">
        <f>300000</f>
        <v>300000</v>
      </c>
      <c r="M96" s="62">
        <f>300000</f>
        <v>300000</v>
      </c>
      <c r="N96" s="62">
        <f>300000</f>
        <v>300000</v>
      </c>
      <c r="O96" s="63">
        <f t="shared" si="23"/>
        <v>444800</v>
      </c>
      <c r="P96" s="65">
        <f t="shared" si="19"/>
        <v>53805100.07</v>
      </c>
      <c r="Q96" s="89">
        <f t="shared" si="20"/>
        <v>-6682223.9499999993</v>
      </c>
      <c r="R96" s="90">
        <f t="shared" si="21"/>
        <v>47122876.120000005</v>
      </c>
    </row>
    <row r="97" spans="1:18" s="9" customFormat="1" ht="40.5" customHeight="1" x14ac:dyDescent="0.2">
      <c r="A97" s="7"/>
      <c r="B97" s="59"/>
      <c r="C97" s="93"/>
      <c r="D97" s="69" t="s">
        <v>59</v>
      </c>
      <c r="E97" s="61">
        <v>49510100</v>
      </c>
      <c r="F97" s="89">
        <f t="shared" si="24"/>
        <v>-6976139</v>
      </c>
      <c r="G97" s="89">
        <v>-6976139</v>
      </c>
      <c r="H97" s="63">
        <f t="shared" si="22"/>
        <v>42533961</v>
      </c>
      <c r="I97" s="91">
        <v>0</v>
      </c>
      <c r="J97" s="61">
        <f t="shared" si="25"/>
        <v>0</v>
      </c>
      <c r="K97" s="62"/>
      <c r="L97" s="62"/>
      <c r="M97" s="62"/>
      <c r="N97" s="62"/>
      <c r="O97" s="63">
        <f t="shared" si="23"/>
        <v>0</v>
      </c>
      <c r="P97" s="65">
        <f t="shared" si="19"/>
        <v>49510100</v>
      </c>
      <c r="Q97" s="89">
        <f t="shared" si="20"/>
        <v>-6976139</v>
      </c>
      <c r="R97" s="90">
        <f t="shared" si="21"/>
        <v>42533961</v>
      </c>
    </row>
    <row r="98" spans="1:18" s="9" customFormat="1" ht="26.45" customHeight="1" x14ac:dyDescent="0.2">
      <c r="A98" s="7"/>
      <c r="B98" s="59"/>
      <c r="C98" s="93"/>
      <c r="D98" s="70" t="s">
        <v>474</v>
      </c>
      <c r="E98" s="61">
        <v>160000</v>
      </c>
      <c r="F98" s="89">
        <f t="shared" si="24"/>
        <v>0</v>
      </c>
      <c r="G98" s="89"/>
      <c r="H98" s="63">
        <f t="shared" si="22"/>
        <v>160000</v>
      </c>
      <c r="I98" s="91">
        <v>0</v>
      </c>
      <c r="J98" s="61">
        <f t="shared" si="25"/>
        <v>0</v>
      </c>
      <c r="K98" s="62"/>
      <c r="L98" s="62"/>
      <c r="M98" s="62"/>
      <c r="N98" s="62"/>
      <c r="O98" s="63">
        <f t="shared" si="23"/>
        <v>0</v>
      </c>
      <c r="P98" s="65">
        <f t="shared" si="19"/>
        <v>160000</v>
      </c>
      <c r="Q98" s="89">
        <f t="shared" si="20"/>
        <v>0</v>
      </c>
      <c r="R98" s="90">
        <f t="shared" si="21"/>
        <v>160000</v>
      </c>
    </row>
    <row r="99" spans="1:18" s="9" customFormat="1" ht="25.9" customHeight="1" x14ac:dyDescent="0.2">
      <c r="A99" s="7"/>
      <c r="B99" s="59"/>
      <c r="C99" s="93"/>
      <c r="D99" s="70" t="s">
        <v>475</v>
      </c>
      <c r="E99" s="61">
        <v>50000</v>
      </c>
      <c r="F99" s="89">
        <f t="shared" si="24"/>
        <v>0</v>
      </c>
      <c r="G99" s="89"/>
      <c r="H99" s="63">
        <f t="shared" si="22"/>
        <v>50000</v>
      </c>
      <c r="I99" s="91">
        <v>0</v>
      </c>
      <c r="J99" s="61">
        <f t="shared" si="25"/>
        <v>0</v>
      </c>
      <c r="K99" s="62"/>
      <c r="L99" s="62"/>
      <c r="M99" s="62"/>
      <c r="N99" s="62"/>
      <c r="O99" s="63">
        <f t="shared" si="23"/>
        <v>0</v>
      </c>
      <c r="P99" s="65">
        <f t="shared" si="19"/>
        <v>50000</v>
      </c>
      <c r="Q99" s="89">
        <f t="shared" si="20"/>
        <v>0</v>
      </c>
      <c r="R99" s="90">
        <f t="shared" si="21"/>
        <v>50000</v>
      </c>
    </row>
    <row r="100" spans="1:18" s="9" customFormat="1" ht="24.6" customHeight="1" x14ac:dyDescent="0.2">
      <c r="A100" s="7"/>
      <c r="B100" s="59"/>
      <c r="C100" s="93"/>
      <c r="D100" s="70" t="s">
        <v>476</v>
      </c>
      <c r="E100" s="61">
        <v>53000</v>
      </c>
      <c r="F100" s="89">
        <f t="shared" si="24"/>
        <v>30000</v>
      </c>
      <c r="G100" s="89">
        <v>30000</v>
      </c>
      <c r="H100" s="63">
        <f t="shared" si="22"/>
        <v>83000</v>
      </c>
      <c r="I100" s="91">
        <v>47000</v>
      </c>
      <c r="J100" s="61">
        <f t="shared" si="25"/>
        <v>0</v>
      </c>
      <c r="K100" s="62"/>
      <c r="L100" s="62"/>
      <c r="M100" s="62"/>
      <c r="N100" s="62"/>
      <c r="O100" s="63">
        <f t="shared" si="23"/>
        <v>47000</v>
      </c>
      <c r="P100" s="65">
        <f t="shared" si="19"/>
        <v>100000</v>
      </c>
      <c r="Q100" s="89">
        <f t="shared" si="20"/>
        <v>30000</v>
      </c>
      <c r="R100" s="90">
        <f t="shared" si="21"/>
        <v>130000</v>
      </c>
    </row>
    <row r="101" spans="1:18" s="9" customFormat="1" ht="13.15" customHeight="1" x14ac:dyDescent="0.2">
      <c r="A101" s="7"/>
      <c r="B101" s="59"/>
      <c r="C101" s="93"/>
      <c r="D101" s="70" t="s">
        <v>477</v>
      </c>
      <c r="E101" s="61">
        <v>20000</v>
      </c>
      <c r="F101" s="89">
        <f t="shared" si="24"/>
        <v>0</v>
      </c>
      <c r="G101" s="89"/>
      <c r="H101" s="63">
        <f t="shared" si="22"/>
        <v>20000</v>
      </c>
      <c r="I101" s="91">
        <v>0</v>
      </c>
      <c r="J101" s="61">
        <f t="shared" si="25"/>
        <v>0</v>
      </c>
      <c r="K101" s="62"/>
      <c r="L101" s="62"/>
      <c r="M101" s="62"/>
      <c r="N101" s="62"/>
      <c r="O101" s="63">
        <f t="shared" si="23"/>
        <v>0</v>
      </c>
      <c r="P101" s="65">
        <f t="shared" si="19"/>
        <v>20000</v>
      </c>
      <c r="Q101" s="89">
        <f t="shared" si="20"/>
        <v>0</v>
      </c>
      <c r="R101" s="90">
        <f t="shared" si="21"/>
        <v>20000</v>
      </c>
    </row>
    <row r="102" spans="1:18" s="9" customFormat="1" ht="19.899999999999999" customHeight="1" x14ac:dyDescent="0.2">
      <c r="A102" s="7"/>
      <c r="B102" s="59"/>
      <c r="C102" s="93"/>
      <c r="D102" s="70" t="s">
        <v>478</v>
      </c>
      <c r="E102" s="61">
        <v>132200</v>
      </c>
      <c r="F102" s="89">
        <f t="shared" si="24"/>
        <v>0</v>
      </c>
      <c r="G102" s="89"/>
      <c r="H102" s="63">
        <f t="shared" si="22"/>
        <v>132200</v>
      </c>
      <c r="I102" s="91">
        <v>97800</v>
      </c>
      <c r="J102" s="61">
        <f t="shared" si="25"/>
        <v>0</v>
      </c>
      <c r="K102" s="62"/>
      <c r="L102" s="62"/>
      <c r="M102" s="62"/>
      <c r="N102" s="62"/>
      <c r="O102" s="63">
        <f t="shared" si="23"/>
        <v>97800</v>
      </c>
      <c r="P102" s="65">
        <f t="shared" si="19"/>
        <v>230000</v>
      </c>
      <c r="Q102" s="89">
        <f t="shared" si="20"/>
        <v>0</v>
      </c>
      <c r="R102" s="90">
        <f>H102+O102</f>
        <v>230000</v>
      </c>
    </row>
    <row r="103" spans="1:18" s="9" customFormat="1" ht="30.75" customHeight="1" x14ac:dyDescent="0.2">
      <c r="A103" s="7" t="s">
        <v>455</v>
      </c>
      <c r="B103" s="59" t="s">
        <v>469</v>
      </c>
      <c r="C103" s="59" t="s">
        <v>456</v>
      </c>
      <c r="D103" s="66" t="s">
        <v>454</v>
      </c>
      <c r="E103" s="61">
        <v>6510700</v>
      </c>
      <c r="F103" s="89">
        <f t="shared" si="24"/>
        <v>100000</v>
      </c>
      <c r="G103" s="89">
        <v>100000</v>
      </c>
      <c r="H103" s="63">
        <f t="shared" si="22"/>
        <v>6610700</v>
      </c>
      <c r="I103" s="91">
        <v>0</v>
      </c>
      <c r="J103" s="61">
        <f t="shared" si="25"/>
        <v>0</v>
      </c>
      <c r="K103" s="62"/>
      <c r="L103" s="62"/>
      <c r="M103" s="62"/>
      <c r="N103" s="62"/>
      <c r="O103" s="63">
        <f t="shared" si="23"/>
        <v>0</v>
      </c>
      <c r="P103" s="65">
        <f t="shared" si="19"/>
        <v>6510700</v>
      </c>
      <c r="Q103" s="89">
        <f t="shared" si="20"/>
        <v>100000</v>
      </c>
      <c r="R103" s="90">
        <f t="shared" si="21"/>
        <v>6610700</v>
      </c>
    </row>
    <row r="104" spans="1:18" s="9" customFormat="1" ht="40.5" customHeight="1" x14ac:dyDescent="0.2">
      <c r="A104" s="18"/>
      <c r="B104" s="59"/>
      <c r="C104" s="59"/>
      <c r="D104" s="94" t="s">
        <v>457</v>
      </c>
      <c r="E104" s="61">
        <v>6510700</v>
      </c>
      <c r="F104" s="89">
        <f t="shared" si="24"/>
        <v>100000</v>
      </c>
      <c r="G104" s="89">
        <v>100000</v>
      </c>
      <c r="H104" s="63">
        <f t="shared" si="22"/>
        <v>6610700</v>
      </c>
      <c r="I104" s="91">
        <v>0</v>
      </c>
      <c r="J104" s="61">
        <f t="shared" si="25"/>
        <v>0</v>
      </c>
      <c r="K104" s="62"/>
      <c r="L104" s="62"/>
      <c r="M104" s="62"/>
      <c r="N104" s="62"/>
      <c r="O104" s="63">
        <f t="shared" si="23"/>
        <v>0</v>
      </c>
      <c r="P104" s="65">
        <f t="shared" si="19"/>
        <v>6510700</v>
      </c>
      <c r="Q104" s="89">
        <f t="shared" si="20"/>
        <v>100000</v>
      </c>
      <c r="R104" s="90">
        <f t="shared" si="21"/>
        <v>6610700</v>
      </c>
    </row>
    <row r="105" spans="1:18" s="9" customFormat="1" ht="28.9" customHeight="1" x14ac:dyDescent="0.2">
      <c r="A105" s="7" t="s">
        <v>471</v>
      </c>
      <c r="B105" s="59" t="s">
        <v>472</v>
      </c>
      <c r="C105" s="59" t="s">
        <v>64</v>
      </c>
      <c r="D105" s="95" t="s">
        <v>470</v>
      </c>
      <c r="E105" s="61">
        <v>346000</v>
      </c>
      <c r="F105" s="89">
        <f t="shared" si="24"/>
        <v>0</v>
      </c>
      <c r="G105" s="89"/>
      <c r="H105" s="63">
        <f t="shared" si="22"/>
        <v>346000</v>
      </c>
      <c r="I105" s="91">
        <v>0</v>
      </c>
      <c r="J105" s="61">
        <f>K105+L105</f>
        <v>0</v>
      </c>
      <c r="K105" s="62"/>
      <c r="L105" s="62"/>
      <c r="M105" s="62"/>
      <c r="N105" s="62"/>
      <c r="O105" s="63">
        <f t="shared" si="23"/>
        <v>0</v>
      </c>
      <c r="P105" s="65">
        <f t="shared" si="19"/>
        <v>346000</v>
      </c>
      <c r="Q105" s="89">
        <f t="shared" si="20"/>
        <v>0</v>
      </c>
      <c r="R105" s="90">
        <f t="shared" si="21"/>
        <v>346000</v>
      </c>
    </row>
    <row r="106" spans="1:18" s="17" customFormat="1" ht="42.75" customHeight="1" x14ac:dyDescent="0.2">
      <c r="A106" s="7"/>
      <c r="B106" s="59"/>
      <c r="C106" s="59"/>
      <c r="D106" s="69" t="s">
        <v>458</v>
      </c>
      <c r="E106" s="61">
        <v>26000</v>
      </c>
      <c r="F106" s="89">
        <f t="shared" si="24"/>
        <v>0</v>
      </c>
      <c r="G106" s="89"/>
      <c r="H106" s="63">
        <f t="shared" si="22"/>
        <v>26000</v>
      </c>
      <c r="I106" s="91">
        <v>0</v>
      </c>
      <c r="J106" s="61"/>
      <c r="K106" s="62"/>
      <c r="L106" s="62"/>
      <c r="M106" s="62"/>
      <c r="N106" s="62"/>
      <c r="O106" s="63">
        <f t="shared" si="23"/>
        <v>0</v>
      </c>
      <c r="P106" s="65">
        <f t="shared" si="19"/>
        <v>26000</v>
      </c>
      <c r="Q106" s="89">
        <f t="shared" si="20"/>
        <v>0</v>
      </c>
      <c r="R106" s="90">
        <f t="shared" si="21"/>
        <v>26000</v>
      </c>
    </row>
    <row r="107" spans="1:18" s="9" customFormat="1" ht="37.5" customHeight="1" x14ac:dyDescent="0.2">
      <c r="A107" s="7" t="s">
        <v>537</v>
      </c>
      <c r="B107" s="59" t="s">
        <v>501</v>
      </c>
      <c r="C107" s="31" t="s">
        <v>77</v>
      </c>
      <c r="D107" s="79" t="s">
        <v>502</v>
      </c>
      <c r="E107" s="61"/>
      <c r="F107" s="62"/>
      <c r="G107" s="62"/>
      <c r="H107" s="63"/>
      <c r="I107" s="64">
        <v>50000</v>
      </c>
      <c r="J107" s="61">
        <f>K107+L107</f>
        <v>500000</v>
      </c>
      <c r="K107" s="62"/>
      <c r="L107" s="62">
        <f>500000</f>
        <v>500000</v>
      </c>
      <c r="M107" s="62">
        <f>500000</f>
        <v>500000</v>
      </c>
      <c r="N107" s="62">
        <f>500000</f>
        <v>500000</v>
      </c>
      <c r="O107" s="63">
        <f t="shared" si="23"/>
        <v>550000</v>
      </c>
      <c r="P107" s="65">
        <f t="shared" si="19"/>
        <v>50000</v>
      </c>
      <c r="Q107" s="62">
        <f t="shared" si="20"/>
        <v>500000</v>
      </c>
      <c r="R107" s="63">
        <f t="shared" si="21"/>
        <v>550000</v>
      </c>
    </row>
    <row r="108" spans="1:18" s="9" customFormat="1" ht="81" customHeight="1" x14ac:dyDescent="0.2">
      <c r="A108" s="7" t="s">
        <v>435</v>
      </c>
      <c r="B108" s="59" t="s">
        <v>432</v>
      </c>
      <c r="C108" s="59" t="s">
        <v>77</v>
      </c>
      <c r="D108" s="60" t="s">
        <v>433</v>
      </c>
      <c r="E108" s="61"/>
      <c r="F108" s="89"/>
      <c r="G108" s="96"/>
      <c r="H108" s="63"/>
      <c r="I108" s="64">
        <v>2500000</v>
      </c>
      <c r="J108" s="61">
        <f>K108+L108</f>
        <v>0</v>
      </c>
      <c r="K108" s="62">
        <v>26719</v>
      </c>
      <c r="L108" s="62">
        <f>-26719</f>
        <v>-26719</v>
      </c>
      <c r="M108" s="62"/>
      <c r="N108" s="62"/>
      <c r="O108" s="63">
        <f t="shared" si="23"/>
        <v>2500000</v>
      </c>
      <c r="P108" s="65">
        <f t="shared" si="19"/>
        <v>2500000</v>
      </c>
      <c r="Q108" s="89">
        <f>F108+J108</f>
        <v>0</v>
      </c>
      <c r="R108" s="90">
        <f t="shared" si="21"/>
        <v>2500000</v>
      </c>
    </row>
    <row r="109" spans="1:18" s="5" customFormat="1" ht="27.75" customHeight="1" x14ac:dyDescent="0.2">
      <c r="A109" s="11" t="s">
        <v>187</v>
      </c>
      <c r="B109" s="48"/>
      <c r="C109" s="48"/>
      <c r="D109" s="49" t="s">
        <v>9</v>
      </c>
      <c r="E109" s="50">
        <v>874346327</v>
      </c>
      <c r="F109" s="51">
        <f>F111+F112+F114+F115+F116+F117+F118+F119+F120+F121+F122+F123+F124+F125+F126+F127+F128+F129+F130+F131+F132+F133+F134+F135+F136+F137+F138+F139+F140+F141+F144+F154+F155+F157</f>
        <v>-3851400</v>
      </c>
      <c r="G109" s="51">
        <f>G111+G112+G114+G115+G116+G117+G118+G119+G120+G121+G122+G123+G124+G125+G126+G127+G128+G129+G130+G131+G132+G133+G134+G135+G136+G137+G138+G139+G140+G141+G144+G154+G155+G157</f>
        <v>-3851400</v>
      </c>
      <c r="H109" s="55">
        <f>H111+H112+H114+H115+H116+H117+H118+H119+H120+H121+H122+H123+H124+H125+H126+H127+H128+H129+H130+H131+H132+H133+H134+H135+H136+H137+H138+H139+H140+H141+H144+H154+H155+H157</f>
        <v>870494927</v>
      </c>
      <c r="I109" s="73">
        <v>2695985</v>
      </c>
      <c r="J109" s="50">
        <f t="shared" ref="J109:O109" si="26">J111+J112+J114+J115+J116+J117+J118+J119+J120+J121+J122+J123+J124+J125+J126+J127+J128+J129+J130+J131+J132+J133+J134+J136+J137+J139+J140+J141+J144+J154+J155+J157+J142+J143</f>
        <v>3285854</v>
      </c>
      <c r="K109" s="51">
        <f t="shared" si="26"/>
        <v>211000</v>
      </c>
      <c r="L109" s="51">
        <f t="shared" si="26"/>
        <v>3074854</v>
      </c>
      <c r="M109" s="51">
        <f t="shared" si="26"/>
        <v>3074854</v>
      </c>
      <c r="N109" s="51">
        <f t="shared" si="26"/>
        <v>3074854</v>
      </c>
      <c r="O109" s="55">
        <f t="shared" si="26"/>
        <v>5981839</v>
      </c>
      <c r="P109" s="56">
        <f>E109+I109</f>
        <v>877042312</v>
      </c>
      <c r="Q109" s="51">
        <f>F109+J109</f>
        <v>-565546</v>
      </c>
      <c r="R109" s="55">
        <f>H109+O109</f>
        <v>876476766</v>
      </c>
    </row>
    <row r="110" spans="1:18" s="5" customFormat="1" ht="27.75" customHeight="1" x14ac:dyDescent="0.2">
      <c r="A110" s="11" t="s">
        <v>224</v>
      </c>
      <c r="B110" s="48"/>
      <c r="C110" s="48"/>
      <c r="D110" s="49" t="s">
        <v>9</v>
      </c>
      <c r="E110" s="97"/>
      <c r="F110" s="98"/>
      <c r="G110" s="98"/>
      <c r="H110" s="52"/>
      <c r="I110" s="53"/>
      <c r="J110" s="54"/>
      <c r="K110" s="51"/>
      <c r="L110" s="51"/>
      <c r="M110" s="51"/>
      <c r="N110" s="51"/>
      <c r="O110" s="55"/>
      <c r="P110" s="85"/>
      <c r="Q110" s="74"/>
      <c r="R110" s="75"/>
    </row>
    <row r="111" spans="1:18" s="9" customFormat="1" ht="23.25" customHeight="1" x14ac:dyDescent="0.2">
      <c r="A111" s="7" t="s">
        <v>200</v>
      </c>
      <c r="B111" s="59" t="s">
        <v>121</v>
      </c>
      <c r="C111" s="59" t="s">
        <v>66</v>
      </c>
      <c r="D111" s="60" t="s">
        <v>10</v>
      </c>
      <c r="E111" s="61">
        <v>27895900</v>
      </c>
      <c r="F111" s="62">
        <f>G111</f>
        <v>25000</v>
      </c>
      <c r="G111" s="62">
        <f>25000</f>
        <v>25000</v>
      </c>
      <c r="H111" s="63">
        <f>E111+F111</f>
        <v>27920900</v>
      </c>
      <c r="I111" s="64">
        <v>490000</v>
      </c>
      <c r="J111" s="61">
        <f t="shared" ref="J111:J117" si="27">K111+L111</f>
        <v>0</v>
      </c>
      <c r="K111" s="62"/>
      <c r="L111" s="62"/>
      <c r="M111" s="62"/>
      <c r="N111" s="62"/>
      <c r="O111" s="63">
        <f>I111+J111</f>
        <v>490000</v>
      </c>
      <c r="P111" s="65">
        <f t="shared" ref="P111:P163" si="28">E111+I111</f>
        <v>28385900</v>
      </c>
      <c r="Q111" s="62">
        <f t="shared" ref="Q111:Q157" si="29">F111+J111</f>
        <v>25000</v>
      </c>
      <c r="R111" s="63">
        <f t="shared" ref="R111:R157" si="30">H111+O111</f>
        <v>28410900</v>
      </c>
    </row>
    <row r="112" spans="1:18" s="9" customFormat="1" ht="23.25" customHeight="1" x14ac:dyDescent="0.2">
      <c r="A112" s="7" t="s">
        <v>444</v>
      </c>
      <c r="B112" s="59" t="s">
        <v>49</v>
      </c>
      <c r="C112" s="59" t="s">
        <v>53</v>
      </c>
      <c r="D112" s="60" t="s">
        <v>262</v>
      </c>
      <c r="E112" s="61">
        <v>10000</v>
      </c>
      <c r="F112" s="62">
        <f t="shared" ref="F112:F156" si="31">G112</f>
        <v>0</v>
      </c>
      <c r="G112" s="62"/>
      <c r="H112" s="63">
        <f t="shared" ref="H112:H156" si="32">E112+F112</f>
        <v>10000</v>
      </c>
      <c r="I112" s="64">
        <v>0</v>
      </c>
      <c r="J112" s="61">
        <f t="shared" si="27"/>
        <v>0</v>
      </c>
      <c r="K112" s="62"/>
      <c r="L112" s="62"/>
      <c r="M112" s="62"/>
      <c r="N112" s="62"/>
      <c r="O112" s="63">
        <f t="shared" ref="O112:O157" si="33">I112+J112</f>
        <v>0</v>
      </c>
      <c r="P112" s="65">
        <f t="shared" si="28"/>
        <v>10000</v>
      </c>
      <c r="Q112" s="62">
        <f t="shared" si="29"/>
        <v>0</v>
      </c>
      <c r="R112" s="63">
        <f>H112+O112</f>
        <v>10000</v>
      </c>
    </row>
    <row r="113" spans="1:18" s="9" customFormat="1" ht="68.25" customHeight="1" x14ac:dyDescent="0.2">
      <c r="A113" s="7"/>
      <c r="B113" s="59"/>
      <c r="C113" s="59"/>
      <c r="D113" s="60" t="s">
        <v>487</v>
      </c>
      <c r="E113" s="61">
        <v>10000</v>
      </c>
      <c r="F113" s="62">
        <f t="shared" si="31"/>
        <v>0</v>
      </c>
      <c r="G113" s="62"/>
      <c r="H113" s="63">
        <f t="shared" si="32"/>
        <v>10000</v>
      </c>
      <c r="I113" s="64"/>
      <c r="J113" s="61"/>
      <c r="K113" s="62"/>
      <c r="L113" s="62"/>
      <c r="M113" s="62"/>
      <c r="N113" s="62"/>
      <c r="O113" s="63"/>
      <c r="P113" s="65">
        <f t="shared" si="28"/>
        <v>10000</v>
      </c>
      <c r="Q113" s="62">
        <f t="shared" si="29"/>
        <v>0</v>
      </c>
      <c r="R113" s="63">
        <f>H113+O113</f>
        <v>10000</v>
      </c>
    </row>
    <row r="114" spans="1:18" s="9" customFormat="1" ht="116.25" customHeight="1" x14ac:dyDescent="0.2">
      <c r="A114" s="7" t="s">
        <v>213</v>
      </c>
      <c r="B114" s="59" t="s">
        <v>214</v>
      </c>
      <c r="C114" s="59" t="s">
        <v>90</v>
      </c>
      <c r="D114" s="60" t="s">
        <v>395</v>
      </c>
      <c r="E114" s="61">
        <v>1641900</v>
      </c>
      <c r="F114" s="62">
        <f t="shared" si="31"/>
        <v>0</v>
      </c>
      <c r="G114" s="89"/>
      <c r="H114" s="63">
        <f t="shared" si="32"/>
        <v>1641900</v>
      </c>
      <c r="I114" s="64">
        <v>0</v>
      </c>
      <c r="J114" s="61">
        <f t="shared" si="27"/>
        <v>0</v>
      </c>
      <c r="K114" s="62"/>
      <c r="L114" s="62"/>
      <c r="M114" s="62"/>
      <c r="N114" s="62"/>
      <c r="O114" s="63">
        <f t="shared" si="33"/>
        <v>0</v>
      </c>
      <c r="P114" s="65">
        <f t="shared" si="28"/>
        <v>1641900</v>
      </c>
      <c r="Q114" s="62">
        <f t="shared" si="29"/>
        <v>0</v>
      </c>
      <c r="R114" s="63">
        <f t="shared" si="30"/>
        <v>1641900</v>
      </c>
    </row>
    <row r="115" spans="1:18" s="9" customFormat="1" ht="38.25" customHeight="1" x14ac:dyDescent="0.2">
      <c r="A115" s="7" t="s">
        <v>218</v>
      </c>
      <c r="B115" s="59">
        <v>3011</v>
      </c>
      <c r="C115" s="59" t="s">
        <v>101</v>
      </c>
      <c r="D115" s="60" t="s">
        <v>217</v>
      </c>
      <c r="E115" s="61">
        <v>43000000</v>
      </c>
      <c r="F115" s="62">
        <f t="shared" si="31"/>
        <v>7000000</v>
      </c>
      <c r="G115" s="62">
        <f>7000000</f>
        <v>7000000</v>
      </c>
      <c r="H115" s="63">
        <f t="shared" si="32"/>
        <v>50000000</v>
      </c>
      <c r="I115" s="64">
        <v>0</v>
      </c>
      <c r="J115" s="61">
        <f t="shared" si="27"/>
        <v>0</v>
      </c>
      <c r="K115" s="62"/>
      <c r="L115" s="62"/>
      <c r="M115" s="62"/>
      <c r="N115" s="62"/>
      <c r="O115" s="63">
        <f t="shared" si="33"/>
        <v>0</v>
      </c>
      <c r="P115" s="65">
        <f t="shared" si="28"/>
        <v>43000000</v>
      </c>
      <c r="Q115" s="62">
        <f t="shared" si="29"/>
        <v>7000000</v>
      </c>
      <c r="R115" s="63">
        <f t="shared" si="30"/>
        <v>50000000</v>
      </c>
    </row>
    <row r="116" spans="1:18" s="9" customFormat="1" ht="38.25" customHeight="1" x14ac:dyDescent="0.2">
      <c r="A116" s="7" t="s">
        <v>201</v>
      </c>
      <c r="B116" s="59" t="s">
        <v>223</v>
      </c>
      <c r="C116" s="59" t="s">
        <v>102</v>
      </c>
      <c r="D116" s="60" t="s">
        <v>11</v>
      </c>
      <c r="E116" s="61">
        <v>420887500</v>
      </c>
      <c r="F116" s="62">
        <f t="shared" si="31"/>
        <v>-13000000</v>
      </c>
      <c r="G116" s="62">
        <v>-13000000</v>
      </c>
      <c r="H116" s="63">
        <f t="shared" si="32"/>
        <v>407887500</v>
      </c>
      <c r="I116" s="64">
        <v>0</v>
      </c>
      <c r="J116" s="61">
        <f t="shared" si="27"/>
        <v>0</v>
      </c>
      <c r="K116" s="62"/>
      <c r="L116" s="62"/>
      <c r="M116" s="62"/>
      <c r="N116" s="62"/>
      <c r="O116" s="63">
        <f t="shared" si="33"/>
        <v>0</v>
      </c>
      <c r="P116" s="65">
        <f t="shared" si="28"/>
        <v>420887500</v>
      </c>
      <c r="Q116" s="62">
        <f t="shared" si="29"/>
        <v>-13000000</v>
      </c>
      <c r="R116" s="63">
        <f t="shared" si="30"/>
        <v>407887500</v>
      </c>
    </row>
    <row r="117" spans="1:18" s="9" customFormat="1" ht="45.75" customHeight="1" x14ac:dyDescent="0.2">
      <c r="A117" s="7" t="s">
        <v>219</v>
      </c>
      <c r="B117" s="59" t="s">
        <v>114</v>
      </c>
      <c r="C117" s="59" t="s">
        <v>101</v>
      </c>
      <c r="D117" s="60" t="s">
        <v>220</v>
      </c>
      <c r="E117" s="61">
        <v>1200</v>
      </c>
      <c r="F117" s="62">
        <f t="shared" si="31"/>
        <v>0</v>
      </c>
      <c r="G117" s="62"/>
      <c r="H117" s="63">
        <f t="shared" si="32"/>
        <v>1200</v>
      </c>
      <c r="I117" s="64">
        <v>0</v>
      </c>
      <c r="J117" s="61">
        <f t="shared" si="27"/>
        <v>0</v>
      </c>
      <c r="K117" s="62"/>
      <c r="L117" s="62"/>
      <c r="M117" s="62"/>
      <c r="N117" s="62"/>
      <c r="O117" s="63">
        <f t="shared" si="33"/>
        <v>0</v>
      </c>
      <c r="P117" s="65">
        <f t="shared" si="28"/>
        <v>1200</v>
      </c>
      <c r="Q117" s="62">
        <f t="shared" si="29"/>
        <v>0</v>
      </c>
      <c r="R117" s="63">
        <f t="shared" si="30"/>
        <v>1200</v>
      </c>
    </row>
    <row r="118" spans="1:18" s="9" customFormat="1" ht="44.25" customHeight="1" x14ac:dyDescent="0.2">
      <c r="A118" s="7" t="s">
        <v>221</v>
      </c>
      <c r="B118" s="59" t="s">
        <v>222</v>
      </c>
      <c r="C118" s="59" t="s">
        <v>102</v>
      </c>
      <c r="D118" s="60" t="s">
        <v>43</v>
      </c>
      <c r="E118" s="61">
        <v>9100</v>
      </c>
      <c r="F118" s="62">
        <f t="shared" si="31"/>
        <v>0</v>
      </c>
      <c r="G118" s="62"/>
      <c r="H118" s="63">
        <f t="shared" si="32"/>
        <v>9100</v>
      </c>
      <c r="I118" s="64">
        <v>0</v>
      </c>
      <c r="J118" s="61">
        <f t="shared" ref="J118:J131" si="34">K118+L118</f>
        <v>0</v>
      </c>
      <c r="K118" s="62"/>
      <c r="L118" s="62"/>
      <c r="M118" s="62"/>
      <c r="N118" s="62"/>
      <c r="O118" s="63">
        <f t="shared" si="33"/>
        <v>0</v>
      </c>
      <c r="P118" s="65">
        <f t="shared" si="28"/>
        <v>9100</v>
      </c>
      <c r="Q118" s="62">
        <f t="shared" si="29"/>
        <v>0</v>
      </c>
      <c r="R118" s="63">
        <f t="shared" si="30"/>
        <v>9100</v>
      </c>
    </row>
    <row r="119" spans="1:18" s="9" customFormat="1" ht="33.75" customHeight="1" x14ac:dyDescent="0.2">
      <c r="A119" s="7" t="s">
        <v>202</v>
      </c>
      <c r="B119" s="59">
        <v>3031</v>
      </c>
      <c r="C119" s="59" t="s">
        <v>101</v>
      </c>
      <c r="D119" s="60" t="s">
        <v>175</v>
      </c>
      <c r="E119" s="61">
        <v>120000</v>
      </c>
      <c r="F119" s="62">
        <f t="shared" si="31"/>
        <v>0</v>
      </c>
      <c r="G119" s="62"/>
      <c r="H119" s="63">
        <f t="shared" si="32"/>
        <v>120000</v>
      </c>
      <c r="I119" s="64">
        <v>150000</v>
      </c>
      <c r="J119" s="61">
        <f t="shared" si="34"/>
        <v>0</v>
      </c>
      <c r="K119" s="62"/>
      <c r="L119" s="62"/>
      <c r="M119" s="62"/>
      <c r="N119" s="62"/>
      <c r="O119" s="63">
        <f t="shared" si="33"/>
        <v>150000</v>
      </c>
      <c r="P119" s="65">
        <f t="shared" si="28"/>
        <v>270000</v>
      </c>
      <c r="Q119" s="62">
        <f t="shared" si="29"/>
        <v>0</v>
      </c>
      <c r="R119" s="63">
        <f t="shared" si="30"/>
        <v>270000</v>
      </c>
    </row>
    <row r="120" spans="1:18" s="9" customFormat="1" ht="21.95" customHeight="1" x14ac:dyDescent="0.2">
      <c r="A120" s="7" t="s">
        <v>203</v>
      </c>
      <c r="B120" s="59" t="s">
        <v>176</v>
      </c>
      <c r="C120" s="59" t="s">
        <v>74</v>
      </c>
      <c r="D120" s="60" t="s">
        <v>12</v>
      </c>
      <c r="E120" s="61">
        <v>780000</v>
      </c>
      <c r="F120" s="62">
        <f t="shared" si="31"/>
        <v>0</v>
      </c>
      <c r="G120" s="62"/>
      <c r="H120" s="63">
        <f t="shared" si="32"/>
        <v>780000</v>
      </c>
      <c r="I120" s="64">
        <v>0</v>
      </c>
      <c r="J120" s="61">
        <f t="shared" si="34"/>
        <v>0</v>
      </c>
      <c r="K120" s="62"/>
      <c r="L120" s="62"/>
      <c r="M120" s="62"/>
      <c r="N120" s="62"/>
      <c r="O120" s="63">
        <f t="shared" si="33"/>
        <v>0</v>
      </c>
      <c r="P120" s="65">
        <f t="shared" si="28"/>
        <v>780000</v>
      </c>
      <c r="Q120" s="62">
        <f t="shared" si="29"/>
        <v>0</v>
      </c>
      <c r="R120" s="63">
        <f t="shared" si="30"/>
        <v>780000</v>
      </c>
    </row>
    <row r="121" spans="1:18" s="9" customFormat="1" ht="33" customHeight="1" x14ac:dyDescent="0.2">
      <c r="A121" s="7" t="s">
        <v>255</v>
      </c>
      <c r="B121" s="59" t="s">
        <v>256</v>
      </c>
      <c r="C121" s="59" t="s">
        <v>74</v>
      </c>
      <c r="D121" s="60" t="s">
        <v>111</v>
      </c>
      <c r="E121" s="61">
        <v>1655000</v>
      </c>
      <c r="F121" s="62">
        <f t="shared" si="31"/>
        <v>650000</v>
      </c>
      <c r="G121" s="62">
        <f>550000+100000</f>
        <v>650000</v>
      </c>
      <c r="H121" s="63">
        <f t="shared" si="32"/>
        <v>2305000</v>
      </c>
      <c r="I121" s="64">
        <v>0</v>
      </c>
      <c r="J121" s="61">
        <f t="shared" si="34"/>
        <v>0</v>
      </c>
      <c r="K121" s="62"/>
      <c r="L121" s="62"/>
      <c r="M121" s="62"/>
      <c r="N121" s="62"/>
      <c r="O121" s="63">
        <f t="shared" si="33"/>
        <v>0</v>
      </c>
      <c r="P121" s="65">
        <f t="shared" si="28"/>
        <v>1655000</v>
      </c>
      <c r="Q121" s="62">
        <f t="shared" si="29"/>
        <v>650000</v>
      </c>
      <c r="R121" s="63">
        <f t="shared" si="30"/>
        <v>2305000</v>
      </c>
    </row>
    <row r="122" spans="1:18" s="9" customFormat="1" ht="33" customHeight="1" x14ac:dyDescent="0.2">
      <c r="A122" s="7" t="s">
        <v>257</v>
      </c>
      <c r="B122" s="59" t="s">
        <v>258</v>
      </c>
      <c r="C122" s="59" t="s">
        <v>74</v>
      </c>
      <c r="D122" s="60" t="s">
        <v>13</v>
      </c>
      <c r="E122" s="61">
        <v>400000</v>
      </c>
      <c r="F122" s="62">
        <f t="shared" si="31"/>
        <v>0</v>
      </c>
      <c r="G122" s="62"/>
      <c r="H122" s="63">
        <f t="shared" si="32"/>
        <v>400000</v>
      </c>
      <c r="I122" s="64">
        <v>0</v>
      </c>
      <c r="J122" s="61">
        <f t="shared" si="34"/>
        <v>0</v>
      </c>
      <c r="K122" s="62"/>
      <c r="L122" s="62"/>
      <c r="M122" s="62"/>
      <c r="N122" s="62"/>
      <c r="O122" s="63">
        <f t="shared" si="33"/>
        <v>0</v>
      </c>
      <c r="P122" s="65">
        <f t="shared" si="28"/>
        <v>400000</v>
      </c>
      <c r="Q122" s="62">
        <f t="shared" si="29"/>
        <v>0</v>
      </c>
      <c r="R122" s="63">
        <f t="shared" si="30"/>
        <v>400000</v>
      </c>
    </row>
    <row r="123" spans="1:18" s="9" customFormat="1" ht="33" customHeight="1" x14ac:dyDescent="0.2">
      <c r="A123" s="7" t="s">
        <v>259</v>
      </c>
      <c r="B123" s="59" t="s">
        <v>260</v>
      </c>
      <c r="C123" s="59" t="s">
        <v>74</v>
      </c>
      <c r="D123" s="60" t="s">
        <v>50</v>
      </c>
      <c r="E123" s="61">
        <v>20352000</v>
      </c>
      <c r="F123" s="62">
        <f t="shared" si="31"/>
        <v>0</v>
      </c>
      <c r="G123" s="62"/>
      <c r="H123" s="63">
        <f t="shared" si="32"/>
        <v>20352000</v>
      </c>
      <c r="I123" s="68">
        <v>0</v>
      </c>
      <c r="J123" s="61">
        <f t="shared" si="34"/>
        <v>0</v>
      </c>
      <c r="K123" s="62"/>
      <c r="L123" s="62"/>
      <c r="M123" s="62"/>
      <c r="N123" s="62"/>
      <c r="O123" s="63">
        <f t="shared" si="33"/>
        <v>0</v>
      </c>
      <c r="P123" s="65">
        <f t="shared" si="28"/>
        <v>20352000</v>
      </c>
      <c r="Q123" s="62">
        <f t="shared" si="29"/>
        <v>0</v>
      </c>
      <c r="R123" s="63">
        <f t="shared" si="30"/>
        <v>20352000</v>
      </c>
    </row>
    <row r="124" spans="1:18" s="9" customFormat="1" ht="21.95" customHeight="1" x14ac:dyDescent="0.2">
      <c r="A124" s="7" t="s">
        <v>204</v>
      </c>
      <c r="B124" s="59">
        <v>3041</v>
      </c>
      <c r="C124" s="59" t="s">
        <v>90</v>
      </c>
      <c r="D124" s="60" t="s">
        <v>14</v>
      </c>
      <c r="E124" s="61">
        <v>2349500</v>
      </c>
      <c r="F124" s="62">
        <f t="shared" si="31"/>
        <v>0</v>
      </c>
      <c r="G124" s="62"/>
      <c r="H124" s="63">
        <f t="shared" si="32"/>
        <v>2349500</v>
      </c>
      <c r="I124" s="68">
        <v>0</v>
      </c>
      <c r="J124" s="61">
        <f t="shared" si="34"/>
        <v>0</v>
      </c>
      <c r="K124" s="62"/>
      <c r="L124" s="62"/>
      <c r="M124" s="62"/>
      <c r="N124" s="62"/>
      <c r="O124" s="63">
        <f t="shared" si="33"/>
        <v>0</v>
      </c>
      <c r="P124" s="65">
        <f t="shared" si="28"/>
        <v>2349500</v>
      </c>
      <c r="Q124" s="62">
        <f t="shared" si="29"/>
        <v>0</v>
      </c>
      <c r="R124" s="63">
        <f t="shared" si="30"/>
        <v>2349500</v>
      </c>
    </row>
    <row r="125" spans="1:18" s="9" customFormat="1" ht="21.95" customHeight="1" x14ac:dyDescent="0.2">
      <c r="A125" s="7" t="s">
        <v>205</v>
      </c>
      <c r="B125" s="59" t="s">
        <v>397</v>
      </c>
      <c r="C125" s="59" t="s">
        <v>90</v>
      </c>
      <c r="D125" s="60" t="s">
        <v>19</v>
      </c>
      <c r="E125" s="61">
        <v>289200</v>
      </c>
      <c r="F125" s="62">
        <f t="shared" si="31"/>
        <v>0</v>
      </c>
      <c r="G125" s="62"/>
      <c r="H125" s="63">
        <f t="shared" si="32"/>
        <v>289200</v>
      </c>
      <c r="I125" s="68">
        <v>0</v>
      </c>
      <c r="J125" s="61">
        <f t="shared" si="34"/>
        <v>0</v>
      </c>
      <c r="K125" s="62"/>
      <c r="L125" s="62"/>
      <c r="M125" s="62"/>
      <c r="N125" s="62"/>
      <c r="O125" s="63">
        <f t="shared" si="33"/>
        <v>0</v>
      </c>
      <c r="P125" s="65">
        <f t="shared" si="28"/>
        <v>289200</v>
      </c>
      <c r="Q125" s="62">
        <f t="shared" si="29"/>
        <v>0</v>
      </c>
      <c r="R125" s="63">
        <f t="shared" si="30"/>
        <v>289200</v>
      </c>
    </row>
    <row r="126" spans="1:18" s="9" customFormat="1" ht="21.95" customHeight="1" x14ac:dyDescent="0.2">
      <c r="A126" s="7" t="s">
        <v>206</v>
      </c>
      <c r="B126" s="59">
        <v>3043</v>
      </c>
      <c r="C126" s="59" t="s">
        <v>90</v>
      </c>
      <c r="D126" s="60" t="s">
        <v>15</v>
      </c>
      <c r="E126" s="61">
        <v>135348300</v>
      </c>
      <c r="F126" s="62">
        <f t="shared" si="31"/>
        <v>0</v>
      </c>
      <c r="G126" s="62"/>
      <c r="H126" s="63">
        <f t="shared" si="32"/>
        <v>135348300</v>
      </c>
      <c r="I126" s="68">
        <v>0</v>
      </c>
      <c r="J126" s="61">
        <f t="shared" si="34"/>
        <v>0</v>
      </c>
      <c r="K126" s="62"/>
      <c r="L126" s="62"/>
      <c r="M126" s="62"/>
      <c r="N126" s="62"/>
      <c r="O126" s="63">
        <f t="shared" si="33"/>
        <v>0</v>
      </c>
      <c r="P126" s="65">
        <f t="shared" si="28"/>
        <v>135348300</v>
      </c>
      <c r="Q126" s="62">
        <f t="shared" si="29"/>
        <v>0</v>
      </c>
      <c r="R126" s="63">
        <f t="shared" si="30"/>
        <v>135348300</v>
      </c>
    </row>
    <row r="127" spans="1:18" s="9" customFormat="1" ht="21.95" customHeight="1" x14ac:dyDescent="0.2">
      <c r="A127" s="7" t="s">
        <v>207</v>
      </c>
      <c r="B127" s="59">
        <v>3044</v>
      </c>
      <c r="C127" s="59" t="s">
        <v>90</v>
      </c>
      <c r="D127" s="60" t="s">
        <v>16</v>
      </c>
      <c r="E127" s="61">
        <v>5438400</v>
      </c>
      <c r="F127" s="62">
        <f t="shared" si="31"/>
        <v>0</v>
      </c>
      <c r="G127" s="62"/>
      <c r="H127" s="63">
        <f t="shared" si="32"/>
        <v>5438400</v>
      </c>
      <c r="I127" s="68">
        <v>0</v>
      </c>
      <c r="J127" s="61">
        <f t="shared" si="34"/>
        <v>0</v>
      </c>
      <c r="K127" s="62"/>
      <c r="L127" s="62"/>
      <c r="M127" s="62"/>
      <c r="N127" s="62"/>
      <c r="O127" s="63">
        <f t="shared" si="33"/>
        <v>0</v>
      </c>
      <c r="P127" s="65">
        <f t="shared" si="28"/>
        <v>5438400</v>
      </c>
      <c r="Q127" s="62">
        <f t="shared" si="29"/>
        <v>0</v>
      </c>
      <c r="R127" s="63">
        <f t="shared" si="30"/>
        <v>5438400</v>
      </c>
    </row>
    <row r="128" spans="1:18" s="9" customFormat="1" ht="21.95" customHeight="1" x14ac:dyDescent="0.2">
      <c r="A128" s="7" t="s">
        <v>208</v>
      </c>
      <c r="B128" s="59">
        <v>3045</v>
      </c>
      <c r="C128" s="59" t="s">
        <v>90</v>
      </c>
      <c r="D128" s="60" t="s">
        <v>17</v>
      </c>
      <c r="E128" s="61">
        <v>21970500</v>
      </c>
      <c r="F128" s="62">
        <f t="shared" si="31"/>
        <v>0</v>
      </c>
      <c r="G128" s="62"/>
      <c r="H128" s="63">
        <f t="shared" si="32"/>
        <v>21970500</v>
      </c>
      <c r="I128" s="68">
        <v>0</v>
      </c>
      <c r="J128" s="61">
        <f t="shared" si="34"/>
        <v>0</v>
      </c>
      <c r="K128" s="62"/>
      <c r="L128" s="62"/>
      <c r="M128" s="62"/>
      <c r="N128" s="62"/>
      <c r="O128" s="63">
        <f t="shared" si="33"/>
        <v>0</v>
      </c>
      <c r="P128" s="65">
        <f t="shared" si="28"/>
        <v>21970500</v>
      </c>
      <c r="Q128" s="62">
        <f t="shared" si="29"/>
        <v>0</v>
      </c>
      <c r="R128" s="63">
        <f t="shared" si="30"/>
        <v>21970500</v>
      </c>
    </row>
    <row r="129" spans="1:18" s="9" customFormat="1" ht="21.95" customHeight="1" x14ac:dyDescent="0.2">
      <c r="A129" s="7" t="s">
        <v>209</v>
      </c>
      <c r="B129" s="59">
        <v>3046</v>
      </c>
      <c r="C129" s="59" t="s">
        <v>90</v>
      </c>
      <c r="D129" s="60" t="s">
        <v>18</v>
      </c>
      <c r="E129" s="61">
        <v>1565500</v>
      </c>
      <c r="F129" s="62">
        <f t="shared" si="31"/>
        <v>0</v>
      </c>
      <c r="G129" s="62"/>
      <c r="H129" s="63">
        <f t="shared" si="32"/>
        <v>1565500</v>
      </c>
      <c r="I129" s="68">
        <v>0</v>
      </c>
      <c r="J129" s="61">
        <f t="shared" si="34"/>
        <v>0</v>
      </c>
      <c r="K129" s="62"/>
      <c r="L129" s="62"/>
      <c r="M129" s="62"/>
      <c r="N129" s="62"/>
      <c r="O129" s="63">
        <f t="shared" si="33"/>
        <v>0</v>
      </c>
      <c r="P129" s="65">
        <f t="shared" si="28"/>
        <v>1565500</v>
      </c>
      <c r="Q129" s="62">
        <f t="shared" si="29"/>
        <v>0</v>
      </c>
      <c r="R129" s="63">
        <f t="shared" si="30"/>
        <v>1565500</v>
      </c>
    </row>
    <row r="130" spans="1:18" s="9" customFormat="1" ht="26.25" customHeight="1" x14ac:dyDescent="0.2">
      <c r="A130" s="7" t="s">
        <v>210</v>
      </c>
      <c r="B130" s="59" t="s">
        <v>398</v>
      </c>
      <c r="C130" s="59" t="s">
        <v>90</v>
      </c>
      <c r="D130" s="60" t="s">
        <v>20</v>
      </c>
      <c r="E130" s="61">
        <v>85526600</v>
      </c>
      <c r="F130" s="62">
        <f t="shared" si="31"/>
        <v>0</v>
      </c>
      <c r="G130" s="62"/>
      <c r="H130" s="63">
        <f t="shared" si="32"/>
        <v>85526600</v>
      </c>
      <c r="I130" s="68">
        <v>0</v>
      </c>
      <c r="J130" s="61">
        <f t="shared" si="34"/>
        <v>0</v>
      </c>
      <c r="K130" s="62"/>
      <c r="L130" s="62"/>
      <c r="M130" s="62"/>
      <c r="N130" s="62"/>
      <c r="O130" s="63">
        <f t="shared" si="33"/>
        <v>0</v>
      </c>
      <c r="P130" s="65">
        <f t="shared" si="28"/>
        <v>85526600</v>
      </c>
      <c r="Q130" s="62">
        <f t="shared" si="29"/>
        <v>0</v>
      </c>
      <c r="R130" s="63">
        <f t="shared" si="30"/>
        <v>85526600</v>
      </c>
    </row>
    <row r="131" spans="1:18" s="9" customFormat="1" ht="33" customHeight="1" x14ac:dyDescent="0.2">
      <c r="A131" s="7" t="s">
        <v>211</v>
      </c>
      <c r="B131" s="59">
        <v>3050</v>
      </c>
      <c r="C131" s="59" t="s">
        <v>74</v>
      </c>
      <c r="D131" s="60" t="s">
        <v>112</v>
      </c>
      <c r="E131" s="61">
        <v>225300</v>
      </c>
      <c r="F131" s="62">
        <f t="shared" si="31"/>
        <v>0</v>
      </c>
      <c r="G131" s="62"/>
      <c r="H131" s="63">
        <f t="shared" si="32"/>
        <v>225300</v>
      </c>
      <c r="I131" s="68">
        <v>0</v>
      </c>
      <c r="J131" s="61">
        <f t="shared" si="34"/>
        <v>0</v>
      </c>
      <c r="K131" s="62"/>
      <c r="L131" s="62"/>
      <c r="M131" s="62"/>
      <c r="N131" s="62"/>
      <c r="O131" s="63">
        <f t="shared" si="33"/>
        <v>0</v>
      </c>
      <c r="P131" s="65">
        <f t="shared" si="28"/>
        <v>225300</v>
      </c>
      <c r="Q131" s="62">
        <f t="shared" si="29"/>
        <v>0</v>
      </c>
      <c r="R131" s="63">
        <f t="shared" si="30"/>
        <v>225300</v>
      </c>
    </row>
    <row r="132" spans="1:18" s="9" customFormat="1" ht="33.75" customHeight="1" x14ac:dyDescent="0.2">
      <c r="A132" s="7" t="s">
        <v>399</v>
      </c>
      <c r="B132" s="59" t="s">
        <v>400</v>
      </c>
      <c r="C132" s="59" t="s">
        <v>103</v>
      </c>
      <c r="D132" s="60" t="s">
        <v>396</v>
      </c>
      <c r="E132" s="61">
        <v>54836800</v>
      </c>
      <c r="F132" s="62">
        <f t="shared" si="31"/>
        <v>0</v>
      </c>
      <c r="G132" s="62"/>
      <c r="H132" s="63">
        <f t="shared" si="32"/>
        <v>54836800</v>
      </c>
      <c r="I132" s="68">
        <v>0</v>
      </c>
      <c r="J132" s="61">
        <f t="shared" ref="J132:J144" si="35">K132+L132</f>
        <v>0</v>
      </c>
      <c r="K132" s="62"/>
      <c r="L132" s="62"/>
      <c r="M132" s="62"/>
      <c r="N132" s="62"/>
      <c r="O132" s="63">
        <f t="shared" si="33"/>
        <v>0</v>
      </c>
      <c r="P132" s="65">
        <f t="shared" si="28"/>
        <v>54836800</v>
      </c>
      <c r="Q132" s="62">
        <f t="shared" si="29"/>
        <v>0</v>
      </c>
      <c r="R132" s="63">
        <f t="shared" si="30"/>
        <v>54836800</v>
      </c>
    </row>
    <row r="133" spans="1:18" s="9" customFormat="1" ht="51" customHeight="1" x14ac:dyDescent="0.2">
      <c r="A133" s="18">
        <v>813082</v>
      </c>
      <c r="B133" s="99">
        <v>3082</v>
      </c>
      <c r="C133" s="99">
        <v>1010</v>
      </c>
      <c r="D133" s="100" t="s">
        <v>448</v>
      </c>
      <c r="E133" s="61">
        <v>12149400</v>
      </c>
      <c r="F133" s="62">
        <f t="shared" si="31"/>
        <v>0</v>
      </c>
      <c r="G133" s="99"/>
      <c r="H133" s="63">
        <f t="shared" si="32"/>
        <v>12149400</v>
      </c>
      <c r="I133" s="68">
        <v>0</v>
      </c>
      <c r="J133" s="61">
        <f t="shared" si="35"/>
        <v>0</v>
      </c>
      <c r="K133" s="62"/>
      <c r="L133" s="62"/>
      <c r="M133" s="62"/>
      <c r="N133" s="62"/>
      <c r="O133" s="63">
        <f t="shared" si="33"/>
        <v>0</v>
      </c>
      <c r="P133" s="65">
        <f t="shared" si="28"/>
        <v>12149400</v>
      </c>
      <c r="Q133" s="62">
        <f t="shared" si="29"/>
        <v>0</v>
      </c>
      <c r="R133" s="63">
        <f t="shared" si="30"/>
        <v>12149400</v>
      </c>
    </row>
    <row r="134" spans="1:18" s="9" customFormat="1" ht="48.75" customHeight="1" x14ac:dyDescent="0.2">
      <c r="A134" s="7" t="s">
        <v>401</v>
      </c>
      <c r="B134" s="59" t="s">
        <v>402</v>
      </c>
      <c r="C134" s="59" t="s">
        <v>103</v>
      </c>
      <c r="D134" s="60" t="s">
        <v>449</v>
      </c>
      <c r="E134" s="61">
        <v>6726300</v>
      </c>
      <c r="F134" s="62">
        <f t="shared" si="31"/>
        <v>0</v>
      </c>
      <c r="G134" s="62"/>
      <c r="H134" s="63">
        <f t="shared" si="32"/>
        <v>6726300</v>
      </c>
      <c r="I134" s="68">
        <v>0</v>
      </c>
      <c r="J134" s="61">
        <f t="shared" si="35"/>
        <v>0</v>
      </c>
      <c r="K134" s="62"/>
      <c r="L134" s="62"/>
      <c r="M134" s="62"/>
      <c r="N134" s="62"/>
      <c r="O134" s="63">
        <f t="shared" si="33"/>
        <v>0</v>
      </c>
      <c r="P134" s="65">
        <f t="shared" si="28"/>
        <v>6726300</v>
      </c>
      <c r="Q134" s="62">
        <f t="shared" si="29"/>
        <v>0</v>
      </c>
      <c r="R134" s="63">
        <f t="shared" si="30"/>
        <v>6726300</v>
      </c>
    </row>
    <row r="135" spans="1:18" s="9" customFormat="1" ht="48.75" customHeight="1" x14ac:dyDescent="0.2">
      <c r="A135" s="7" t="s">
        <v>524</v>
      </c>
      <c r="B135" s="59" t="s">
        <v>520</v>
      </c>
      <c r="C135" s="59" t="s">
        <v>103</v>
      </c>
      <c r="D135" s="60" t="s">
        <v>521</v>
      </c>
      <c r="E135" s="61">
        <v>653500</v>
      </c>
      <c r="F135" s="62">
        <f t="shared" si="31"/>
        <v>0</v>
      </c>
      <c r="G135" s="62"/>
      <c r="H135" s="63">
        <f t="shared" si="32"/>
        <v>653500</v>
      </c>
      <c r="I135" s="68"/>
      <c r="J135" s="61"/>
      <c r="K135" s="62"/>
      <c r="L135" s="62"/>
      <c r="M135" s="62"/>
      <c r="N135" s="62"/>
      <c r="O135" s="63"/>
      <c r="P135" s="65">
        <f t="shared" si="28"/>
        <v>653500</v>
      </c>
      <c r="Q135" s="62">
        <f t="shared" si="29"/>
        <v>0</v>
      </c>
      <c r="R135" s="63">
        <f t="shared" si="30"/>
        <v>653500</v>
      </c>
    </row>
    <row r="136" spans="1:18" s="9" customFormat="1" ht="47.25" customHeight="1" x14ac:dyDescent="0.2">
      <c r="A136" s="7" t="s">
        <v>403</v>
      </c>
      <c r="B136" s="59" t="s">
        <v>404</v>
      </c>
      <c r="C136" s="59" t="s">
        <v>103</v>
      </c>
      <c r="D136" s="60" t="s">
        <v>450</v>
      </c>
      <c r="E136" s="61">
        <v>46000</v>
      </c>
      <c r="F136" s="62">
        <f t="shared" si="31"/>
        <v>0</v>
      </c>
      <c r="G136" s="62"/>
      <c r="H136" s="63">
        <f t="shared" si="32"/>
        <v>46000</v>
      </c>
      <c r="I136" s="68">
        <v>0</v>
      </c>
      <c r="J136" s="61">
        <f t="shared" si="35"/>
        <v>0</v>
      </c>
      <c r="K136" s="62"/>
      <c r="L136" s="62"/>
      <c r="M136" s="62"/>
      <c r="N136" s="62"/>
      <c r="O136" s="63">
        <f t="shared" si="33"/>
        <v>0</v>
      </c>
      <c r="P136" s="65">
        <f t="shared" si="28"/>
        <v>46000</v>
      </c>
      <c r="Q136" s="62">
        <f t="shared" si="29"/>
        <v>0</v>
      </c>
      <c r="R136" s="63">
        <f t="shared" si="30"/>
        <v>46000</v>
      </c>
    </row>
    <row r="137" spans="1:18" s="9" customFormat="1" ht="30" customHeight="1" x14ac:dyDescent="0.2">
      <c r="A137" s="7" t="s">
        <v>212</v>
      </c>
      <c r="B137" s="59">
        <v>3090</v>
      </c>
      <c r="C137" s="59" t="s">
        <v>101</v>
      </c>
      <c r="D137" s="60" t="s">
        <v>451</v>
      </c>
      <c r="E137" s="61">
        <v>200900</v>
      </c>
      <c r="F137" s="62">
        <f t="shared" si="31"/>
        <v>0</v>
      </c>
      <c r="G137" s="62"/>
      <c r="H137" s="63">
        <f t="shared" si="32"/>
        <v>200900</v>
      </c>
      <c r="I137" s="68">
        <v>0</v>
      </c>
      <c r="J137" s="61">
        <f t="shared" si="35"/>
        <v>0</v>
      </c>
      <c r="K137" s="62"/>
      <c r="L137" s="62"/>
      <c r="M137" s="62"/>
      <c r="N137" s="62"/>
      <c r="O137" s="63">
        <f t="shared" si="33"/>
        <v>0</v>
      </c>
      <c r="P137" s="65">
        <f t="shared" si="28"/>
        <v>200900</v>
      </c>
      <c r="Q137" s="62">
        <f t="shared" si="29"/>
        <v>0</v>
      </c>
      <c r="R137" s="63">
        <f t="shared" si="30"/>
        <v>200900</v>
      </c>
    </row>
    <row r="138" spans="1:18" s="9" customFormat="1" ht="51.75" customHeight="1" x14ac:dyDescent="0.2">
      <c r="A138" s="7" t="s">
        <v>238</v>
      </c>
      <c r="B138" s="59" t="s">
        <v>153</v>
      </c>
      <c r="C138" s="59" t="s">
        <v>90</v>
      </c>
      <c r="D138" s="77" t="s">
        <v>154</v>
      </c>
      <c r="E138" s="61">
        <v>100800</v>
      </c>
      <c r="F138" s="62">
        <f t="shared" si="31"/>
        <v>0</v>
      </c>
      <c r="G138" s="62"/>
      <c r="H138" s="63">
        <f t="shared" si="32"/>
        <v>100800</v>
      </c>
      <c r="I138" s="68">
        <v>0</v>
      </c>
      <c r="J138" s="61">
        <f t="shared" si="35"/>
        <v>0</v>
      </c>
      <c r="K138" s="62"/>
      <c r="L138" s="62"/>
      <c r="M138" s="62"/>
      <c r="N138" s="62"/>
      <c r="O138" s="63">
        <f t="shared" si="33"/>
        <v>0</v>
      </c>
      <c r="P138" s="65">
        <f t="shared" si="28"/>
        <v>100800</v>
      </c>
      <c r="Q138" s="62">
        <f t="shared" si="29"/>
        <v>0</v>
      </c>
      <c r="R138" s="63">
        <f t="shared" si="30"/>
        <v>100800</v>
      </c>
    </row>
    <row r="139" spans="1:18" s="9" customFormat="1" ht="62.25" customHeight="1" x14ac:dyDescent="0.2">
      <c r="A139" s="7" t="s">
        <v>419</v>
      </c>
      <c r="B139" s="59" t="s">
        <v>420</v>
      </c>
      <c r="C139" s="59" t="s">
        <v>103</v>
      </c>
      <c r="D139" s="60" t="s">
        <v>421</v>
      </c>
      <c r="E139" s="61">
        <v>1870200</v>
      </c>
      <c r="F139" s="62">
        <f t="shared" si="31"/>
        <v>-78174.19</v>
      </c>
      <c r="G139" s="89">
        <v>-78174.19</v>
      </c>
      <c r="H139" s="63">
        <f t="shared" si="32"/>
        <v>1792025.81</v>
      </c>
      <c r="I139" s="68">
        <v>0</v>
      </c>
      <c r="J139" s="61">
        <f t="shared" si="35"/>
        <v>0</v>
      </c>
      <c r="K139" s="62"/>
      <c r="L139" s="62"/>
      <c r="M139" s="62"/>
      <c r="N139" s="62"/>
      <c r="O139" s="63">
        <f t="shared" si="33"/>
        <v>0</v>
      </c>
      <c r="P139" s="65">
        <f t="shared" si="28"/>
        <v>1870200</v>
      </c>
      <c r="Q139" s="62">
        <f t="shared" si="29"/>
        <v>-78174.19</v>
      </c>
      <c r="R139" s="63">
        <f t="shared" si="30"/>
        <v>1792025.81</v>
      </c>
    </row>
    <row r="140" spans="1:18" s="9" customFormat="1" ht="57.75" customHeight="1" x14ac:dyDescent="0.2">
      <c r="A140" s="7" t="s">
        <v>405</v>
      </c>
      <c r="B140" s="59" t="s">
        <v>406</v>
      </c>
      <c r="C140" s="59" t="s">
        <v>102</v>
      </c>
      <c r="D140" s="60" t="s">
        <v>394</v>
      </c>
      <c r="E140" s="61">
        <v>8300000</v>
      </c>
      <c r="F140" s="62">
        <f t="shared" si="31"/>
        <v>0</v>
      </c>
      <c r="G140" s="62"/>
      <c r="H140" s="63">
        <f t="shared" si="32"/>
        <v>8300000</v>
      </c>
      <c r="I140" s="68">
        <v>0</v>
      </c>
      <c r="J140" s="61">
        <f t="shared" si="35"/>
        <v>0</v>
      </c>
      <c r="K140" s="62"/>
      <c r="L140" s="62"/>
      <c r="M140" s="62"/>
      <c r="N140" s="62"/>
      <c r="O140" s="63">
        <f t="shared" si="33"/>
        <v>0</v>
      </c>
      <c r="P140" s="65">
        <f t="shared" si="28"/>
        <v>8300000</v>
      </c>
      <c r="Q140" s="62">
        <f t="shared" si="29"/>
        <v>0</v>
      </c>
      <c r="R140" s="63">
        <f t="shared" si="30"/>
        <v>8300000</v>
      </c>
    </row>
    <row r="141" spans="1:18" s="9" customFormat="1" ht="42.75" customHeight="1" x14ac:dyDescent="0.2">
      <c r="A141" s="7" t="s">
        <v>407</v>
      </c>
      <c r="B141" s="59" t="s">
        <v>408</v>
      </c>
      <c r="C141" s="59" t="s">
        <v>101</v>
      </c>
      <c r="D141" s="60" t="s">
        <v>452</v>
      </c>
      <c r="E141" s="61">
        <v>201000</v>
      </c>
      <c r="F141" s="62">
        <f t="shared" si="31"/>
        <v>0</v>
      </c>
      <c r="G141" s="62"/>
      <c r="H141" s="63">
        <f t="shared" si="32"/>
        <v>201000</v>
      </c>
      <c r="I141" s="68">
        <v>0</v>
      </c>
      <c r="J141" s="61">
        <f t="shared" si="35"/>
        <v>0</v>
      </c>
      <c r="K141" s="62"/>
      <c r="L141" s="62"/>
      <c r="M141" s="62"/>
      <c r="N141" s="62"/>
      <c r="O141" s="63">
        <f t="shared" si="33"/>
        <v>0</v>
      </c>
      <c r="P141" s="65">
        <f t="shared" si="28"/>
        <v>201000</v>
      </c>
      <c r="Q141" s="62">
        <f t="shared" si="29"/>
        <v>0</v>
      </c>
      <c r="R141" s="63">
        <f t="shared" si="30"/>
        <v>201000</v>
      </c>
    </row>
    <row r="142" spans="1:18" s="9" customFormat="1" ht="132" customHeight="1" x14ac:dyDescent="0.2">
      <c r="A142" s="20" t="s">
        <v>538</v>
      </c>
      <c r="B142" s="101" t="s">
        <v>539</v>
      </c>
      <c r="C142" s="101" t="s">
        <v>102</v>
      </c>
      <c r="D142" s="142" t="s">
        <v>540</v>
      </c>
      <c r="E142" s="61"/>
      <c r="F142" s="62"/>
      <c r="G142" s="62"/>
      <c r="H142" s="63"/>
      <c r="I142" s="68">
        <v>1555985</v>
      </c>
      <c r="J142" s="61">
        <f t="shared" si="35"/>
        <v>754644</v>
      </c>
      <c r="K142" s="62"/>
      <c r="L142" s="62">
        <f>754644</f>
        <v>754644</v>
      </c>
      <c r="M142" s="62">
        <f>754644</f>
        <v>754644</v>
      </c>
      <c r="N142" s="62">
        <f>754644</f>
        <v>754644</v>
      </c>
      <c r="O142" s="63">
        <f t="shared" si="33"/>
        <v>2310629</v>
      </c>
      <c r="P142" s="65">
        <f t="shared" si="28"/>
        <v>1555985</v>
      </c>
      <c r="Q142" s="62">
        <f t="shared" si="29"/>
        <v>754644</v>
      </c>
      <c r="R142" s="63">
        <f t="shared" si="30"/>
        <v>2310629</v>
      </c>
    </row>
    <row r="143" spans="1:18" s="9" customFormat="1" ht="156" customHeight="1" x14ac:dyDescent="0.2">
      <c r="A143" s="31" t="s">
        <v>562</v>
      </c>
      <c r="B143" s="31" t="s">
        <v>563</v>
      </c>
      <c r="C143" s="31" t="s">
        <v>121</v>
      </c>
      <c r="D143" s="143" t="s">
        <v>564</v>
      </c>
      <c r="E143" s="61"/>
      <c r="F143" s="62"/>
      <c r="G143" s="62"/>
      <c r="H143" s="63"/>
      <c r="I143" s="68"/>
      <c r="J143" s="61">
        <f t="shared" si="35"/>
        <v>2320210</v>
      </c>
      <c r="K143" s="62"/>
      <c r="L143" s="62">
        <f>2320210</f>
        <v>2320210</v>
      </c>
      <c r="M143" s="62">
        <f>2320210</f>
        <v>2320210</v>
      </c>
      <c r="N143" s="62">
        <f>2320210</f>
        <v>2320210</v>
      </c>
      <c r="O143" s="63">
        <f t="shared" si="33"/>
        <v>2320210</v>
      </c>
      <c r="P143" s="65">
        <f t="shared" si="28"/>
        <v>0</v>
      </c>
      <c r="Q143" s="62">
        <f t="shared" si="29"/>
        <v>2320210</v>
      </c>
      <c r="R143" s="63">
        <f t="shared" si="30"/>
        <v>2320210</v>
      </c>
    </row>
    <row r="144" spans="1:18" s="9" customFormat="1" ht="21.95" customHeight="1" x14ac:dyDescent="0.2">
      <c r="A144" s="7" t="s">
        <v>412</v>
      </c>
      <c r="B144" s="59" t="s">
        <v>413</v>
      </c>
      <c r="C144" s="59"/>
      <c r="D144" s="60" t="s">
        <v>453</v>
      </c>
      <c r="E144" s="61">
        <v>12708327</v>
      </c>
      <c r="F144" s="62">
        <f>F145+F150</f>
        <v>1108174.19</v>
      </c>
      <c r="G144" s="62">
        <f>G145+G150</f>
        <v>1108174.19</v>
      </c>
      <c r="H144" s="63">
        <f>E144+F144</f>
        <v>13816501.189999999</v>
      </c>
      <c r="I144" s="68">
        <v>0</v>
      </c>
      <c r="J144" s="61">
        <f t="shared" si="35"/>
        <v>0</v>
      </c>
      <c r="K144" s="62"/>
      <c r="L144" s="62"/>
      <c r="M144" s="62"/>
      <c r="N144" s="62"/>
      <c r="O144" s="63">
        <f t="shared" si="33"/>
        <v>0</v>
      </c>
      <c r="P144" s="65">
        <f>E144+I144</f>
        <v>12708327</v>
      </c>
      <c r="Q144" s="62">
        <f t="shared" si="29"/>
        <v>1108174.19</v>
      </c>
      <c r="R144" s="63">
        <f t="shared" si="30"/>
        <v>13816501.189999999</v>
      </c>
    </row>
    <row r="145" spans="1:19" s="9" customFormat="1" ht="29.25" customHeight="1" x14ac:dyDescent="0.2">
      <c r="A145" s="7" t="s">
        <v>409</v>
      </c>
      <c r="B145" s="59" t="s">
        <v>410</v>
      </c>
      <c r="C145" s="59" t="s">
        <v>105</v>
      </c>
      <c r="D145" s="60" t="s">
        <v>411</v>
      </c>
      <c r="E145" s="61">
        <v>2364700</v>
      </c>
      <c r="F145" s="62">
        <f t="shared" si="31"/>
        <v>110000</v>
      </c>
      <c r="G145" s="62">
        <f>G147+G148+G149</f>
        <v>110000</v>
      </c>
      <c r="H145" s="63">
        <f>E145+F145</f>
        <v>2474700</v>
      </c>
      <c r="I145" s="68">
        <v>0</v>
      </c>
      <c r="J145" s="61">
        <f t="shared" ref="J145:J153" si="36">K145+L145</f>
        <v>0</v>
      </c>
      <c r="K145" s="62"/>
      <c r="L145" s="62"/>
      <c r="M145" s="62"/>
      <c r="N145" s="62"/>
      <c r="O145" s="63">
        <f t="shared" si="33"/>
        <v>0</v>
      </c>
      <c r="P145" s="65">
        <f t="shared" si="28"/>
        <v>2364700</v>
      </c>
      <c r="Q145" s="62">
        <f t="shared" si="29"/>
        <v>110000</v>
      </c>
      <c r="R145" s="63">
        <f t="shared" si="30"/>
        <v>2474700</v>
      </c>
    </row>
    <row r="146" spans="1:19" s="9" customFormat="1" ht="15.75" customHeight="1" x14ac:dyDescent="0.2">
      <c r="A146" s="7"/>
      <c r="B146" s="59"/>
      <c r="C146" s="59"/>
      <c r="D146" s="69" t="s">
        <v>417</v>
      </c>
      <c r="E146" s="61">
        <v>0</v>
      </c>
      <c r="F146" s="62">
        <f t="shared" si="31"/>
        <v>0</v>
      </c>
      <c r="G146" s="62"/>
      <c r="H146" s="63">
        <f t="shared" si="32"/>
        <v>0</v>
      </c>
      <c r="I146" s="68">
        <v>0</v>
      </c>
      <c r="J146" s="61">
        <f t="shared" si="36"/>
        <v>0</v>
      </c>
      <c r="K146" s="62"/>
      <c r="L146" s="62"/>
      <c r="M146" s="62"/>
      <c r="N146" s="62"/>
      <c r="O146" s="63">
        <f t="shared" si="33"/>
        <v>0</v>
      </c>
      <c r="P146" s="65"/>
      <c r="Q146" s="62"/>
      <c r="R146" s="63">
        <f t="shared" si="30"/>
        <v>0</v>
      </c>
    </row>
    <row r="147" spans="1:19" s="9" customFormat="1" ht="15.75" customHeight="1" x14ac:dyDescent="0.2">
      <c r="A147" s="7"/>
      <c r="B147" s="59"/>
      <c r="C147" s="59"/>
      <c r="D147" s="69" t="s">
        <v>332</v>
      </c>
      <c r="E147" s="61">
        <v>450000</v>
      </c>
      <c r="F147" s="62">
        <f t="shared" si="31"/>
        <v>0</v>
      </c>
      <c r="G147" s="62"/>
      <c r="H147" s="63">
        <f t="shared" si="32"/>
        <v>450000</v>
      </c>
      <c r="I147" s="68">
        <v>0</v>
      </c>
      <c r="J147" s="61">
        <f t="shared" si="36"/>
        <v>0</v>
      </c>
      <c r="K147" s="62"/>
      <c r="L147" s="62"/>
      <c r="M147" s="62"/>
      <c r="N147" s="62"/>
      <c r="O147" s="63">
        <f t="shared" si="33"/>
        <v>0</v>
      </c>
      <c r="P147" s="65">
        <f t="shared" si="28"/>
        <v>450000</v>
      </c>
      <c r="Q147" s="62">
        <f t="shared" si="29"/>
        <v>0</v>
      </c>
      <c r="R147" s="63">
        <f t="shared" si="30"/>
        <v>450000</v>
      </c>
    </row>
    <row r="148" spans="1:19" s="9" customFormat="1" ht="21.75" customHeight="1" x14ac:dyDescent="0.2">
      <c r="A148" s="7"/>
      <c r="B148" s="59"/>
      <c r="C148" s="59"/>
      <c r="D148" s="69" t="s">
        <v>333</v>
      </c>
      <c r="E148" s="61">
        <v>795200</v>
      </c>
      <c r="F148" s="62">
        <f t="shared" si="31"/>
        <v>45000</v>
      </c>
      <c r="G148" s="62">
        <v>45000</v>
      </c>
      <c r="H148" s="63">
        <f t="shared" si="32"/>
        <v>840200</v>
      </c>
      <c r="I148" s="68">
        <v>0</v>
      </c>
      <c r="J148" s="61">
        <f t="shared" si="36"/>
        <v>0</v>
      </c>
      <c r="K148" s="62"/>
      <c r="L148" s="62"/>
      <c r="M148" s="62"/>
      <c r="N148" s="62"/>
      <c r="O148" s="63">
        <f t="shared" si="33"/>
        <v>0</v>
      </c>
      <c r="P148" s="65">
        <f t="shared" si="28"/>
        <v>795200</v>
      </c>
      <c r="Q148" s="62">
        <f t="shared" si="29"/>
        <v>45000</v>
      </c>
      <c r="R148" s="63">
        <f t="shared" si="30"/>
        <v>840200</v>
      </c>
    </row>
    <row r="149" spans="1:19" s="9" customFormat="1" ht="18" customHeight="1" x14ac:dyDescent="0.2">
      <c r="A149" s="7"/>
      <c r="B149" s="59"/>
      <c r="C149" s="59"/>
      <c r="D149" s="69" t="s">
        <v>334</v>
      </c>
      <c r="E149" s="61">
        <v>1119500</v>
      </c>
      <c r="F149" s="62">
        <f t="shared" si="31"/>
        <v>65000</v>
      </c>
      <c r="G149" s="62">
        <f>28000+37000</f>
        <v>65000</v>
      </c>
      <c r="H149" s="63">
        <f t="shared" si="32"/>
        <v>1184500</v>
      </c>
      <c r="I149" s="68">
        <v>0</v>
      </c>
      <c r="J149" s="61">
        <f t="shared" si="36"/>
        <v>0</v>
      </c>
      <c r="K149" s="62"/>
      <c r="L149" s="62"/>
      <c r="M149" s="62"/>
      <c r="N149" s="62"/>
      <c r="O149" s="63">
        <f t="shared" si="33"/>
        <v>0</v>
      </c>
      <c r="P149" s="65">
        <f t="shared" si="28"/>
        <v>1119500</v>
      </c>
      <c r="Q149" s="62">
        <f t="shared" si="29"/>
        <v>65000</v>
      </c>
      <c r="R149" s="63">
        <f t="shared" si="30"/>
        <v>1184500</v>
      </c>
    </row>
    <row r="150" spans="1:19" s="9" customFormat="1" ht="39.75" customHeight="1" x14ac:dyDescent="0.2">
      <c r="A150" s="7" t="s">
        <v>414</v>
      </c>
      <c r="B150" s="59" t="s">
        <v>415</v>
      </c>
      <c r="C150" s="59" t="s">
        <v>105</v>
      </c>
      <c r="D150" s="60" t="s">
        <v>416</v>
      </c>
      <c r="E150" s="61">
        <v>10343627</v>
      </c>
      <c r="F150" s="62">
        <f t="shared" si="31"/>
        <v>998174.19</v>
      </c>
      <c r="G150" s="62">
        <f>G152+G153</f>
        <v>998174.19</v>
      </c>
      <c r="H150" s="63">
        <f>E150+F150</f>
        <v>11341801.189999999</v>
      </c>
      <c r="I150" s="68">
        <v>0</v>
      </c>
      <c r="J150" s="61">
        <f t="shared" si="36"/>
        <v>0</v>
      </c>
      <c r="K150" s="62"/>
      <c r="L150" s="62"/>
      <c r="M150" s="62"/>
      <c r="N150" s="62"/>
      <c r="O150" s="63">
        <f t="shared" si="33"/>
        <v>0</v>
      </c>
      <c r="P150" s="65">
        <f t="shared" si="28"/>
        <v>10343627</v>
      </c>
      <c r="Q150" s="62">
        <f t="shared" si="29"/>
        <v>998174.19</v>
      </c>
      <c r="R150" s="63">
        <f t="shared" si="30"/>
        <v>11341801.189999999</v>
      </c>
    </row>
    <row r="151" spans="1:19" s="9" customFormat="1" ht="18" customHeight="1" x14ac:dyDescent="0.2">
      <c r="A151" s="7"/>
      <c r="B151" s="59"/>
      <c r="C151" s="59"/>
      <c r="D151" s="69" t="s">
        <v>417</v>
      </c>
      <c r="E151" s="61">
        <v>0</v>
      </c>
      <c r="F151" s="62"/>
      <c r="G151" s="62"/>
      <c r="H151" s="63">
        <f t="shared" si="32"/>
        <v>0</v>
      </c>
      <c r="I151" s="68">
        <v>0</v>
      </c>
      <c r="J151" s="61">
        <f t="shared" si="36"/>
        <v>0</v>
      </c>
      <c r="K151" s="62"/>
      <c r="L151" s="62"/>
      <c r="M151" s="62"/>
      <c r="N151" s="62"/>
      <c r="O151" s="63">
        <f t="shared" si="33"/>
        <v>0</v>
      </c>
      <c r="P151" s="65"/>
      <c r="Q151" s="62"/>
      <c r="R151" s="63"/>
    </row>
    <row r="152" spans="1:19" s="9" customFormat="1" ht="18" customHeight="1" x14ac:dyDescent="0.2">
      <c r="A152" s="7"/>
      <c r="B152" s="59"/>
      <c r="C152" s="59"/>
      <c r="D152" s="69" t="s">
        <v>418</v>
      </c>
      <c r="E152" s="61">
        <v>8504000</v>
      </c>
      <c r="F152" s="62">
        <f t="shared" si="31"/>
        <v>998174.19</v>
      </c>
      <c r="G152" s="62">
        <f>800000+78174.19+120000</f>
        <v>998174.19</v>
      </c>
      <c r="H152" s="63">
        <f t="shared" si="32"/>
        <v>9502174.1899999995</v>
      </c>
      <c r="I152" s="68">
        <v>0</v>
      </c>
      <c r="J152" s="61">
        <f t="shared" si="36"/>
        <v>0</v>
      </c>
      <c r="K152" s="62"/>
      <c r="L152" s="62"/>
      <c r="M152" s="62"/>
      <c r="N152" s="62"/>
      <c r="O152" s="63">
        <f t="shared" si="33"/>
        <v>0</v>
      </c>
      <c r="P152" s="65">
        <f t="shared" si="28"/>
        <v>8504000</v>
      </c>
      <c r="Q152" s="62">
        <f t="shared" si="29"/>
        <v>998174.19</v>
      </c>
      <c r="R152" s="63">
        <f t="shared" si="30"/>
        <v>9502174.1899999995</v>
      </c>
    </row>
    <row r="153" spans="1:19" s="9" customFormat="1" ht="18" customHeight="1" x14ac:dyDescent="0.2">
      <c r="A153" s="7"/>
      <c r="B153" s="59"/>
      <c r="C153" s="59"/>
      <c r="D153" s="69" t="s">
        <v>331</v>
      </c>
      <c r="E153" s="61">
        <v>479500</v>
      </c>
      <c r="F153" s="62">
        <f t="shared" si="31"/>
        <v>0</v>
      </c>
      <c r="G153" s="62"/>
      <c r="H153" s="63">
        <f t="shared" si="32"/>
        <v>479500</v>
      </c>
      <c r="I153" s="68">
        <v>0</v>
      </c>
      <c r="J153" s="61">
        <f t="shared" si="36"/>
        <v>0</v>
      </c>
      <c r="K153" s="62"/>
      <c r="L153" s="62"/>
      <c r="M153" s="62"/>
      <c r="N153" s="62"/>
      <c r="O153" s="63">
        <f t="shared" si="33"/>
        <v>0</v>
      </c>
      <c r="P153" s="65">
        <f t="shared" si="28"/>
        <v>479500</v>
      </c>
      <c r="Q153" s="62">
        <f t="shared" si="29"/>
        <v>0</v>
      </c>
      <c r="R153" s="63">
        <f t="shared" si="30"/>
        <v>479500</v>
      </c>
    </row>
    <row r="154" spans="1:19" s="9" customFormat="1" ht="56.1" customHeight="1" x14ac:dyDescent="0.2">
      <c r="A154" s="7" t="s">
        <v>215</v>
      </c>
      <c r="B154" s="59">
        <v>3104</v>
      </c>
      <c r="C154" s="59" t="s">
        <v>104</v>
      </c>
      <c r="D154" s="60" t="s">
        <v>21</v>
      </c>
      <c r="E154" s="103">
        <v>4801800</v>
      </c>
      <c r="F154" s="62">
        <f t="shared" si="31"/>
        <v>0</v>
      </c>
      <c r="G154" s="89"/>
      <c r="H154" s="63">
        <f t="shared" si="32"/>
        <v>4801800</v>
      </c>
      <c r="I154" s="68">
        <v>0</v>
      </c>
      <c r="J154" s="61">
        <f>K154+L154</f>
        <v>0</v>
      </c>
      <c r="K154" s="62"/>
      <c r="L154" s="62"/>
      <c r="M154" s="62"/>
      <c r="N154" s="62"/>
      <c r="O154" s="63">
        <f t="shared" si="33"/>
        <v>0</v>
      </c>
      <c r="P154" s="65">
        <f t="shared" si="28"/>
        <v>4801800</v>
      </c>
      <c r="Q154" s="62">
        <f t="shared" si="29"/>
        <v>0</v>
      </c>
      <c r="R154" s="63">
        <f t="shared" si="30"/>
        <v>4801800</v>
      </c>
    </row>
    <row r="155" spans="1:19" s="9" customFormat="1" ht="30" customHeight="1" x14ac:dyDescent="0.2">
      <c r="A155" s="7" t="s">
        <v>216</v>
      </c>
      <c r="B155" s="59" t="s">
        <v>177</v>
      </c>
      <c r="C155" s="59" t="s">
        <v>90</v>
      </c>
      <c r="D155" s="60" t="s">
        <v>178</v>
      </c>
      <c r="E155" s="103">
        <v>2285400</v>
      </c>
      <c r="F155" s="62">
        <f t="shared" si="31"/>
        <v>443600</v>
      </c>
      <c r="G155" s="89">
        <f>400000+43600</f>
        <v>443600</v>
      </c>
      <c r="H155" s="63">
        <f t="shared" si="32"/>
        <v>2729000</v>
      </c>
      <c r="I155" s="68">
        <v>0</v>
      </c>
      <c r="J155" s="61">
        <f>K155+L155</f>
        <v>0</v>
      </c>
      <c r="K155" s="62"/>
      <c r="L155" s="62"/>
      <c r="M155" s="62"/>
      <c r="N155" s="62"/>
      <c r="O155" s="63">
        <f t="shared" si="33"/>
        <v>0</v>
      </c>
      <c r="P155" s="65">
        <f t="shared" si="28"/>
        <v>2285400</v>
      </c>
      <c r="Q155" s="62">
        <f t="shared" si="29"/>
        <v>443600</v>
      </c>
      <c r="R155" s="63">
        <f t="shared" si="30"/>
        <v>2729000</v>
      </c>
    </row>
    <row r="156" spans="1:19" s="9" customFormat="1" ht="28.5" customHeight="1" x14ac:dyDescent="0.2">
      <c r="A156" s="7"/>
      <c r="B156" s="59"/>
      <c r="C156" s="59"/>
      <c r="D156" s="69" t="s">
        <v>335</v>
      </c>
      <c r="E156" s="103">
        <v>311800</v>
      </c>
      <c r="F156" s="62">
        <f t="shared" si="31"/>
        <v>47000</v>
      </c>
      <c r="G156" s="89">
        <v>47000</v>
      </c>
      <c r="H156" s="63">
        <f t="shared" si="32"/>
        <v>358800</v>
      </c>
      <c r="I156" s="68"/>
      <c r="J156" s="61"/>
      <c r="K156" s="62"/>
      <c r="L156" s="62"/>
      <c r="M156" s="62"/>
      <c r="N156" s="62"/>
      <c r="O156" s="63"/>
      <c r="P156" s="65">
        <f t="shared" si="28"/>
        <v>311800</v>
      </c>
      <c r="Q156" s="62">
        <f t="shared" si="29"/>
        <v>47000</v>
      </c>
      <c r="R156" s="63">
        <f t="shared" si="30"/>
        <v>358800</v>
      </c>
    </row>
    <row r="157" spans="1:19" s="9" customFormat="1" ht="79.5" customHeight="1" x14ac:dyDescent="0.2">
      <c r="A157" s="7" t="s">
        <v>436</v>
      </c>
      <c r="B157" s="59" t="s">
        <v>432</v>
      </c>
      <c r="C157" s="59" t="s">
        <v>77</v>
      </c>
      <c r="D157" s="60" t="s">
        <v>433</v>
      </c>
      <c r="E157" s="61"/>
      <c r="F157" s="62"/>
      <c r="G157" s="62"/>
      <c r="H157" s="63"/>
      <c r="I157" s="64">
        <v>500000</v>
      </c>
      <c r="J157" s="61">
        <f>K157+L157</f>
        <v>211000</v>
      </c>
      <c r="K157" s="62">
        <v>211000</v>
      </c>
      <c r="L157" s="62"/>
      <c r="M157" s="62"/>
      <c r="N157" s="62"/>
      <c r="O157" s="63">
        <f t="shared" si="33"/>
        <v>711000</v>
      </c>
      <c r="P157" s="65">
        <f t="shared" si="28"/>
        <v>500000</v>
      </c>
      <c r="Q157" s="62">
        <f t="shared" si="29"/>
        <v>211000</v>
      </c>
      <c r="R157" s="63">
        <f t="shared" si="30"/>
        <v>711000</v>
      </c>
    </row>
    <row r="158" spans="1:19" s="9" customFormat="1" ht="30" hidden="1" customHeight="1" x14ac:dyDescent="0.2">
      <c r="A158" s="7">
        <v>1516324</v>
      </c>
      <c r="B158" s="59" t="s">
        <v>108</v>
      </c>
      <c r="C158" s="59" t="s">
        <v>102</v>
      </c>
      <c r="D158" s="60" t="s">
        <v>109</v>
      </c>
      <c r="E158" s="61"/>
      <c r="F158" s="62"/>
      <c r="G158" s="62"/>
      <c r="H158" s="104"/>
      <c r="I158" s="68"/>
      <c r="J158" s="61">
        <f>K158+L158</f>
        <v>0</v>
      </c>
      <c r="K158" s="62"/>
      <c r="L158" s="62"/>
      <c r="M158" s="62"/>
      <c r="N158" s="62"/>
      <c r="O158" s="63"/>
      <c r="P158" s="65">
        <f t="shared" si="28"/>
        <v>0</v>
      </c>
      <c r="Q158" s="62"/>
      <c r="R158" s="105"/>
      <c r="S158" s="12"/>
    </row>
    <row r="159" spans="1:19" s="5" customFormat="1" ht="30.75" customHeight="1" x14ac:dyDescent="0.2">
      <c r="A159" s="11" t="s">
        <v>188</v>
      </c>
      <c r="B159" s="48"/>
      <c r="C159" s="48"/>
      <c r="D159" s="49" t="s">
        <v>22</v>
      </c>
      <c r="E159" s="50">
        <v>2845020</v>
      </c>
      <c r="F159" s="74">
        <f>G159</f>
        <v>0</v>
      </c>
      <c r="G159" s="51">
        <f>G161+G163+G162</f>
        <v>0</v>
      </c>
      <c r="H159" s="55">
        <f>H161+H163+H162</f>
        <v>2845020</v>
      </c>
      <c r="I159" s="73">
        <v>202220</v>
      </c>
      <c r="J159" s="50">
        <f t="shared" ref="J159:O159" si="37">J161+J163</f>
        <v>0</v>
      </c>
      <c r="K159" s="51">
        <f t="shared" si="37"/>
        <v>0</v>
      </c>
      <c r="L159" s="51">
        <f t="shared" si="37"/>
        <v>0</v>
      </c>
      <c r="M159" s="51">
        <f t="shared" si="37"/>
        <v>0</v>
      </c>
      <c r="N159" s="51">
        <f t="shared" si="37"/>
        <v>0</v>
      </c>
      <c r="O159" s="55">
        <f t="shared" si="37"/>
        <v>202220</v>
      </c>
      <c r="P159" s="56">
        <f>E159+I159</f>
        <v>3047240</v>
      </c>
      <c r="Q159" s="51">
        <f>F159+J159</f>
        <v>0</v>
      </c>
      <c r="R159" s="55">
        <f>H159+O159</f>
        <v>3047240</v>
      </c>
    </row>
    <row r="160" spans="1:19" s="5" customFormat="1" ht="30.75" customHeight="1" x14ac:dyDescent="0.2">
      <c r="A160" s="11" t="s">
        <v>240</v>
      </c>
      <c r="B160" s="48"/>
      <c r="C160" s="48"/>
      <c r="D160" s="49" t="s">
        <v>22</v>
      </c>
      <c r="E160" s="50"/>
      <c r="F160" s="74"/>
      <c r="G160" s="51"/>
      <c r="H160" s="52"/>
      <c r="I160" s="53"/>
      <c r="J160" s="54"/>
      <c r="K160" s="51"/>
      <c r="L160" s="51"/>
      <c r="M160" s="51"/>
      <c r="N160" s="51"/>
      <c r="O160" s="55"/>
      <c r="P160" s="85"/>
      <c r="Q160" s="51"/>
      <c r="R160" s="55"/>
    </row>
    <row r="161" spans="1:18" s="9" customFormat="1" ht="16.5" customHeight="1" x14ac:dyDescent="0.2">
      <c r="A161" s="7" t="s">
        <v>241</v>
      </c>
      <c r="B161" s="59" t="s">
        <v>121</v>
      </c>
      <c r="C161" s="59" t="s">
        <v>66</v>
      </c>
      <c r="D161" s="60" t="s">
        <v>37</v>
      </c>
      <c r="E161" s="61">
        <v>2648460</v>
      </c>
      <c r="F161" s="62">
        <f>G161</f>
        <v>0</v>
      </c>
      <c r="G161" s="62"/>
      <c r="H161" s="63">
        <f>E161+F161</f>
        <v>2648460</v>
      </c>
      <c r="I161" s="68">
        <v>12220</v>
      </c>
      <c r="J161" s="61">
        <f>K161+L161</f>
        <v>0</v>
      </c>
      <c r="K161" s="62"/>
      <c r="L161" s="62"/>
      <c r="M161" s="62"/>
      <c r="N161" s="62"/>
      <c r="O161" s="63">
        <f>I161+J161</f>
        <v>12220</v>
      </c>
      <c r="P161" s="65">
        <f t="shared" si="28"/>
        <v>2660680</v>
      </c>
      <c r="Q161" s="62">
        <f>F161+J161</f>
        <v>0</v>
      </c>
      <c r="R161" s="63">
        <f>H161+O161</f>
        <v>2660680</v>
      </c>
    </row>
    <row r="162" spans="1:18" s="9" customFormat="1" ht="58.5" customHeight="1" x14ac:dyDescent="0.2">
      <c r="A162" s="7" t="s">
        <v>565</v>
      </c>
      <c r="B162" s="59" t="s">
        <v>153</v>
      </c>
      <c r="C162" s="59" t="s">
        <v>90</v>
      </c>
      <c r="D162" s="77" t="s">
        <v>154</v>
      </c>
      <c r="E162" s="61">
        <v>196560</v>
      </c>
      <c r="F162" s="62">
        <f>G162</f>
        <v>0</v>
      </c>
      <c r="G162" s="62"/>
      <c r="H162" s="63">
        <f>E162+F162</f>
        <v>196560</v>
      </c>
      <c r="I162" s="64">
        <v>0</v>
      </c>
      <c r="J162" s="61">
        <f>K162+L162</f>
        <v>0</v>
      </c>
      <c r="K162" s="62"/>
      <c r="L162" s="62"/>
      <c r="M162" s="62"/>
      <c r="N162" s="62"/>
      <c r="O162" s="63">
        <f>I162+J162</f>
        <v>0</v>
      </c>
      <c r="P162" s="65">
        <f>E162+I162</f>
        <v>196560</v>
      </c>
      <c r="Q162" s="62">
        <f>F162+J162</f>
        <v>0</v>
      </c>
      <c r="R162" s="63">
        <f>H162+O162</f>
        <v>196560</v>
      </c>
    </row>
    <row r="163" spans="1:18" s="9" customFormat="1" ht="78.75" customHeight="1" x14ac:dyDescent="0.2">
      <c r="A163" s="7" t="s">
        <v>437</v>
      </c>
      <c r="B163" s="59" t="s">
        <v>432</v>
      </c>
      <c r="C163" s="59" t="s">
        <v>77</v>
      </c>
      <c r="D163" s="60" t="s">
        <v>433</v>
      </c>
      <c r="E163" s="61"/>
      <c r="F163" s="62"/>
      <c r="G163" s="62"/>
      <c r="H163" s="63"/>
      <c r="I163" s="64">
        <v>190000</v>
      </c>
      <c r="J163" s="61">
        <f>K163+L163</f>
        <v>0</v>
      </c>
      <c r="K163" s="62"/>
      <c r="L163" s="62"/>
      <c r="M163" s="62"/>
      <c r="N163" s="62"/>
      <c r="O163" s="63">
        <f>I163+J163</f>
        <v>190000</v>
      </c>
      <c r="P163" s="65">
        <f t="shared" si="28"/>
        <v>190000</v>
      </c>
      <c r="Q163" s="62">
        <f>F163+J163</f>
        <v>0</v>
      </c>
      <c r="R163" s="63">
        <f>H163+O163</f>
        <v>190000</v>
      </c>
    </row>
    <row r="164" spans="1:18" s="5" customFormat="1" ht="21" customHeight="1" x14ac:dyDescent="0.2">
      <c r="A164" s="11" t="s">
        <v>189</v>
      </c>
      <c r="B164" s="48"/>
      <c r="C164" s="48"/>
      <c r="D164" s="72" t="s">
        <v>73</v>
      </c>
      <c r="E164" s="50">
        <v>69474003</v>
      </c>
      <c r="F164" s="51">
        <f>F166+F171+F172+F173+F179+F170+F168+F178+F169+F167</f>
        <v>1584150</v>
      </c>
      <c r="G164" s="51">
        <f>G166+G171+G172+G173+G179+G170+G168+G178+G169+G167</f>
        <v>1584150</v>
      </c>
      <c r="H164" s="55">
        <f>H166+H171+H172+H173+H179+H170+H168+H178+H169+H167</f>
        <v>71058153</v>
      </c>
      <c r="I164" s="73">
        <v>5305650</v>
      </c>
      <c r="J164" s="50">
        <f t="shared" ref="J164:O164" si="38">J166+J171+J172+J173+J179+J170+J168+J178+J174</f>
        <v>34400</v>
      </c>
      <c r="K164" s="51">
        <f t="shared" si="38"/>
        <v>34400</v>
      </c>
      <c r="L164" s="51">
        <f t="shared" si="38"/>
        <v>0</v>
      </c>
      <c r="M164" s="51">
        <f t="shared" si="38"/>
        <v>0</v>
      </c>
      <c r="N164" s="51">
        <f t="shared" si="38"/>
        <v>0</v>
      </c>
      <c r="O164" s="55">
        <f t="shared" si="38"/>
        <v>5340050</v>
      </c>
      <c r="P164" s="56">
        <f>E164+I164</f>
        <v>74779653</v>
      </c>
      <c r="Q164" s="51">
        <f>F164+J164</f>
        <v>1618550</v>
      </c>
      <c r="R164" s="55">
        <f>H164+O164</f>
        <v>76398203</v>
      </c>
    </row>
    <row r="165" spans="1:18" s="5" customFormat="1" ht="16.5" customHeight="1" x14ac:dyDescent="0.2">
      <c r="A165" s="11" t="s">
        <v>242</v>
      </c>
      <c r="B165" s="48"/>
      <c r="C165" s="48"/>
      <c r="D165" s="72" t="s">
        <v>73</v>
      </c>
      <c r="E165" s="50"/>
      <c r="F165" s="51"/>
      <c r="G165" s="51"/>
      <c r="H165" s="52"/>
      <c r="I165" s="53"/>
      <c r="J165" s="54"/>
      <c r="K165" s="51"/>
      <c r="L165" s="51"/>
      <c r="M165" s="51"/>
      <c r="N165" s="51"/>
      <c r="O165" s="55"/>
      <c r="P165" s="85"/>
      <c r="Q165" s="74"/>
      <c r="R165" s="75"/>
    </row>
    <row r="166" spans="1:18" s="9" customFormat="1" ht="18" customHeight="1" x14ac:dyDescent="0.2">
      <c r="A166" s="7" t="s">
        <v>243</v>
      </c>
      <c r="B166" s="59" t="s">
        <v>121</v>
      </c>
      <c r="C166" s="59" t="s">
        <v>66</v>
      </c>
      <c r="D166" s="60" t="s">
        <v>38</v>
      </c>
      <c r="E166" s="61">
        <v>2490500</v>
      </c>
      <c r="F166" s="62">
        <f>G166</f>
        <v>19000</v>
      </c>
      <c r="G166" s="62">
        <f>19000</f>
        <v>19000</v>
      </c>
      <c r="H166" s="63">
        <f>E166+F166</f>
        <v>2509500</v>
      </c>
      <c r="I166" s="68">
        <v>19700</v>
      </c>
      <c r="J166" s="61">
        <f>K166+L166</f>
        <v>0</v>
      </c>
      <c r="K166" s="62"/>
      <c r="L166" s="62"/>
      <c r="M166" s="62"/>
      <c r="N166" s="62"/>
      <c r="O166" s="63">
        <f>I166+J166</f>
        <v>19700</v>
      </c>
      <c r="P166" s="65">
        <f t="shared" ref="P166:P192" si="39">E166+I166</f>
        <v>2510200</v>
      </c>
      <c r="Q166" s="62">
        <f t="shared" ref="Q166:Q194" si="40">F166+J166</f>
        <v>19000</v>
      </c>
      <c r="R166" s="63">
        <f t="shared" ref="R166:R196" si="41">H166+O166</f>
        <v>2529200</v>
      </c>
    </row>
    <row r="167" spans="1:18" s="9" customFormat="1" ht="18" customHeight="1" x14ac:dyDescent="0.2">
      <c r="A167" s="7" t="s">
        <v>528</v>
      </c>
      <c r="B167" s="59" t="s">
        <v>49</v>
      </c>
      <c r="C167" s="59" t="s">
        <v>53</v>
      </c>
      <c r="D167" s="60" t="s">
        <v>262</v>
      </c>
      <c r="E167" s="61">
        <v>55300</v>
      </c>
      <c r="F167" s="62">
        <f>G167</f>
        <v>0</v>
      </c>
      <c r="G167" s="62"/>
      <c r="H167" s="63">
        <f>E167+F167</f>
        <v>55300</v>
      </c>
      <c r="I167" s="68"/>
      <c r="J167" s="61"/>
      <c r="K167" s="62"/>
      <c r="L167" s="62"/>
      <c r="M167" s="62"/>
      <c r="N167" s="62"/>
      <c r="O167" s="63"/>
      <c r="P167" s="65">
        <f t="shared" si="39"/>
        <v>55300</v>
      </c>
      <c r="Q167" s="62">
        <f t="shared" si="40"/>
        <v>0</v>
      </c>
      <c r="R167" s="63">
        <f t="shared" si="41"/>
        <v>55300</v>
      </c>
    </row>
    <row r="168" spans="1:18" s="9" customFormat="1" ht="42.75" customHeight="1" x14ac:dyDescent="0.2">
      <c r="A168" s="7" t="s">
        <v>247</v>
      </c>
      <c r="B168" s="59" t="s">
        <v>136</v>
      </c>
      <c r="C168" s="59" t="s">
        <v>87</v>
      </c>
      <c r="D168" s="60" t="s">
        <v>137</v>
      </c>
      <c r="E168" s="61">
        <v>35460100</v>
      </c>
      <c r="F168" s="62">
        <f t="shared" ref="F168:F179" si="42">G168</f>
        <v>-3000</v>
      </c>
      <c r="G168" s="62">
        <v>-3000</v>
      </c>
      <c r="H168" s="63">
        <f t="shared" ref="H168:H180" si="43">E168+F168</f>
        <v>35457100</v>
      </c>
      <c r="I168" s="64">
        <v>4051100</v>
      </c>
      <c r="J168" s="61">
        <f>K168+L168</f>
        <v>0</v>
      </c>
      <c r="K168" s="62"/>
      <c r="L168" s="62"/>
      <c r="M168" s="62"/>
      <c r="N168" s="62"/>
      <c r="O168" s="63">
        <f t="shared" ref="O168:O180" si="44">I168+J168</f>
        <v>4051100</v>
      </c>
      <c r="P168" s="65">
        <f t="shared" si="39"/>
        <v>39511200</v>
      </c>
      <c r="Q168" s="62">
        <f t="shared" si="40"/>
        <v>-3000</v>
      </c>
      <c r="R168" s="63">
        <f t="shared" si="41"/>
        <v>39508200</v>
      </c>
    </row>
    <row r="169" spans="1:18" s="9" customFormat="1" ht="50.25" customHeight="1" x14ac:dyDescent="0.2">
      <c r="A169" s="7" t="s">
        <v>527</v>
      </c>
      <c r="B169" s="59" t="s">
        <v>153</v>
      </c>
      <c r="C169" s="59" t="s">
        <v>90</v>
      </c>
      <c r="D169" s="77" t="s">
        <v>154</v>
      </c>
      <c r="E169" s="61">
        <v>105840</v>
      </c>
      <c r="F169" s="62">
        <f t="shared" si="42"/>
        <v>0</v>
      </c>
      <c r="G169" s="62"/>
      <c r="H169" s="63">
        <f t="shared" si="43"/>
        <v>105840</v>
      </c>
      <c r="I169" s="64">
        <v>0</v>
      </c>
      <c r="J169" s="61">
        <f>K169+L169</f>
        <v>0</v>
      </c>
      <c r="K169" s="62"/>
      <c r="L169" s="62"/>
      <c r="M169" s="62"/>
      <c r="N169" s="62"/>
      <c r="O169" s="63">
        <f t="shared" si="44"/>
        <v>0</v>
      </c>
      <c r="P169" s="65">
        <f>E169+I169</f>
        <v>105840</v>
      </c>
      <c r="Q169" s="62">
        <f t="shared" si="40"/>
        <v>0</v>
      </c>
      <c r="R169" s="63">
        <f t="shared" si="41"/>
        <v>105840</v>
      </c>
    </row>
    <row r="170" spans="1:18" s="9" customFormat="1" ht="15.75" customHeight="1" x14ac:dyDescent="0.2">
      <c r="A170" s="7" t="s">
        <v>244</v>
      </c>
      <c r="B170" s="59" t="s">
        <v>131</v>
      </c>
      <c r="C170" s="59" t="s">
        <v>106</v>
      </c>
      <c r="D170" s="60" t="s">
        <v>132</v>
      </c>
      <c r="E170" s="61">
        <v>1000000</v>
      </c>
      <c r="F170" s="62">
        <f t="shared" si="42"/>
        <v>0</v>
      </c>
      <c r="G170" s="62"/>
      <c r="H170" s="63">
        <f t="shared" si="43"/>
        <v>1000000</v>
      </c>
      <c r="I170" s="64">
        <v>0</v>
      </c>
      <c r="J170" s="61"/>
      <c r="K170" s="62"/>
      <c r="L170" s="62"/>
      <c r="M170" s="62"/>
      <c r="N170" s="62"/>
      <c r="O170" s="63">
        <f t="shared" si="44"/>
        <v>0</v>
      </c>
      <c r="P170" s="65">
        <f t="shared" si="39"/>
        <v>1000000</v>
      </c>
      <c r="Q170" s="62">
        <f t="shared" si="40"/>
        <v>0</v>
      </c>
      <c r="R170" s="63">
        <f t="shared" si="41"/>
        <v>1000000</v>
      </c>
    </row>
    <row r="171" spans="1:18" s="9" customFormat="1" ht="16.5" customHeight="1" x14ac:dyDescent="0.2">
      <c r="A171" s="7" t="s">
        <v>245</v>
      </c>
      <c r="B171" s="59" t="s">
        <v>133</v>
      </c>
      <c r="C171" s="59" t="s">
        <v>97</v>
      </c>
      <c r="D171" s="60" t="s">
        <v>134</v>
      </c>
      <c r="E171" s="61">
        <v>9315863</v>
      </c>
      <c r="F171" s="62">
        <f t="shared" si="42"/>
        <v>-12350</v>
      </c>
      <c r="G171" s="62">
        <f>-14000+1150+500</f>
        <v>-12350</v>
      </c>
      <c r="H171" s="63">
        <f t="shared" si="43"/>
        <v>9303513</v>
      </c>
      <c r="I171" s="64">
        <v>201000</v>
      </c>
      <c r="J171" s="61">
        <f>K171+L171</f>
        <v>0</v>
      </c>
      <c r="K171" s="62"/>
      <c r="L171" s="62"/>
      <c r="M171" s="62"/>
      <c r="N171" s="62"/>
      <c r="O171" s="63">
        <f t="shared" si="44"/>
        <v>201000</v>
      </c>
      <c r="P171" s="65">
        <f t="shared" si="39"/>
        <v>9516863</v>
      </c>
      <c r="Q171" s="62">
        <f t="shared" si="40"/>
        <v>-12350</v>
      </c>
      <c r="R171" s="63">
        <f t="shared" si="41"/>
        <v>9504513</v>
      </c>
    </row>
    <row r="172" spans="1:18" s="9" customFormat="1" ht="35.25" customHeight="1" x14ac:dyDescent="0.2">
      <c r="A172" s="7" t="s">
        <v>246</v>
      </c>
      <c r="B172" s="59" t="s">
        <v>96</v>
      </c>
      <c r="C172" s="59" t="s">
        <v>98</v>
      </c>
      <c r="D172" s="60" t="s">
        <v>135</v>
      </c>
      <c r="E172" s="61">
        <v>7431500</v>
      </c>
      <c r="F172" s="62">
        <f t="shared" si="42"/>
        <v>29500</v>
      </c>
      <c r="G172" s="62">
        <f>29000+500</f>
        <v>29500</v>
      </c>
      <c r="H172" s="63">
        <f t="shared" si="43"/>
        <v>7461000</v>
      </c>
      <c r="I172" s="64">
        <v>407350</v>
      </c>
      <c r="J172" s="61">
        <f>K172+L172</f>
        <v>0</v>
      </c>
      <c r="K172" s="62"/>
      <c r="L172" s="62"/>
      <c r="M172" s="62"/>
      <c r="N172" s="62"/>
      <c r="O172" s="63">
        <f t="shared" si="44"/>
        <v>407350</v>
      </c>
      <c r="P172" s="65">
        <f t="shared" si="39"/>
        <v>7838850</v>
      </c>
      <c r="Q172" s="62">
        <f t="shared" si="40"/>
        <v>29500</v>
      </c>
      <c r="R172" s="63">
        <f t="shared" si="41"/>
        <v>7868350</v>
      </c>
    </row>
    <row r="173" spans="1:18" s="9" customFormat="1" ht="24" customHeight="1" x14ac:dyDescent="0.2">
      <c r="A173" s="7" t="s">
        <v>248</v>
      </c>
      <c r="B173" s="59" t="s">
        <v>138</v>
      </c>
      <c r="C173" s="59" t="s">
        <v>99</v>
      </c>
      <c r="D173" s="60" t="s">
        <v>139</v>
      </c>
      <c r="E173" s="61">
        <v>10364900</v>
      </c>
      <c r="F173" s="62">
        <f>G173</f>
        <v>586000</v>
      </c>
      <c r="G173" s="62">
        <f>G174+G177</f>
        <v>586000</v>
      </c>
      <c r="H173" s="63">
        <f>E173+F173</f>
        <v>10950900</v>
      </c>
      <c r="I173" s="64">
        <v>0</v>
      </c>
      <c r="J173" s="61">
        <f>K173+L173</f>
        <v>0</v>
      </c>
      <c r="K173" s="62"/>
      <c r="L173" s="62"/>
      <c r="M173" s="62"/>
      <c r="N173" s="62"/>
      <c r="O173" s="63">
        <f t="shared" si="44"/>
        <v>0</v>
      </c>
      <c r="P173" s="65">
        <f t="shared" si="39"/>
        <v>10364900</v>
      </c>
      <c r="Q173" s="62">
        <f t="shared" si="40"/>
        <v>586000</v>
      </c>
      <c r="R173" s="63">
        <f t="shared" si="41"/>
        <v>10950900</v>
      </c>
    </row>
    <row r="174" spans="1:18" s="9" customFormat="1" ht="24" customHeight="1" x14ac:dyDescent="0.2">
      <c r="A174" s="7" t="s">
        <v>426</v>
      </c>
      <c r="B174" s="59" t="s">
        <v>425</v>
      </c>
      <c r="C174" s="59" t="s">
        <v>99</v>
      </c>
      <c r="D174" s="60" t="s">
        <v>427</v>
      </c>
      <c r="E174" s="61">
        <v>6568900</v>
      </c>
      <c r="F174" s="62">
        <f t="shared" si="42"/>
        <v>-31000</v>
      </c>
      <c r="G174" s="62">
        <v>-31000</v>
      </c>
      <c r="H174" s="63">
        <f t="shared" si="43"/>
        <v>6537900</v>
      </c>
      <c r="I174" s="64">
        <v>35300</v>
      </c>
      <c r="J174" s="61">
        <f>K174+L174</f>
        <v>0</v>
      </c>
      <c r="K174" s="62"/>
      <c r="L174" s="62"/>
      <c r="M174" s="62"/>
      <c r="N174" s="62"/>
      <c r="O174" s="63">
        <f t="shared" si="44"/>
        <v>35300</v>
      </c>
      <c r="P174" s="65">
        <f t="shared" si="39"/>
        <v>6604200</v>
      </c>
      <c r="Q174" s="62">
        <f t="shared" si="40"/>
        <v>-31000</v>
      </c>
      <c r="R174" s="63">
        <f t="shared" si="41"/>
        <v>6573200</v>
      </c>
    </row>
    <row r="175" spans="1:18" s="9" customFormat="1" ht="12.75" customHeight="1" x14ac:dyDescent="0.2">
      <c r="A175" s="7"/>
      <c r="B175" s="59"/>
      <c r="C175" s="59"/>
      <c r="D175" s="60" t="s">
        <v>117</v>
      </c>
      <c r="E175" s="61">
        <v>0</v>
      </c>
      <c r="F175" s="62"/>
      <c r="G175" s="62"/>
      <c r="H175" s="63">
        <f t="shared" si="43"/>
        <v>0</v>
      </c>
      <c r="I175" s="64">
        <v>0</v>
      </c>
      <c r="J175" s="61"/>
      <c r="K175" s="62"/>
      <c r="L175" s="62"/>
      <c r="M175" s="62"/>
      <c r="N175" s="62"/>
      <c r="O175" s="63">
        <f t="shared" si="44"/>
        <v>0</v>
      </c>
      <c r="P175" s="65"/>
      <c r="Q175" s="62">
        <f t="shared" si="40"/>
        <v>0</v>
      </c>
      <c r="R175" s="63">
        <f t="shared" si="41"/>
        <v>0</v>
      </c>
    </row>
    <row r="176" spans="1:18" s="9" customFormat="1" ht="23.25" customHeight="1" x14ac:dyDescent="0.2">
      <c r="A176" s="7"/>
      <c r="B176" s="59"/>
      <c r="C176" s="59"/>
      <c r="D176" s="60" t="s">
        <v>118</v>
      </c>
      <c r="E176" s="61">
        <v>4517000</v>
      </c>
      <c r="F176" s="62">
        <f t="shared" si="42"/>
        <v>0</v>
      </c>
      <c r="G176" s="62"/>
      <c r="H176" s="63">
        <f t="shared" si="43"/>
        <v>4517000</v>
      </c>
      <c r="I176" s="64">
        <v>0</v>
      </c>
      <c r="J176" s="61"/>
      <c r="K176" s="62"/>
      <c r="L176" s="62"/>
      <c r="M176" s="62"/>
      <c r="N176" s="62"/>
      <c r="O176" s="63">
        <f t="shared" si="44"/>
        <v>0</v>
      </c>
      <c r="P176" s="65">
        <f t="shared" si="39"/>
        <v>4517000</v>
      </c>
      <c r="Q176" s="62">
        <f t="shared" si="40"/>
        <v>0</v>
      </c>
      <c r="R176" s="63">
        <f t="shared" si="41"/>
        <v>4517000</v>
      </c>
    </row>
    <row r="177" spans="1:18" s="9" customFormat="1" ht="24" customHeight="1" x14ac:dyDescent="0.2">
      <c r="A177" s="7" t="s">
        <v>428</v>
      </c>
      <c r="B177" s="59" t="s">
        <v>429</v>
      </c>
      <c r="C177" s="59" t="s">
        <v>99</v>
      </c>
      <c r="D177" s="60" t="s">
        <v>430</v>
      </c>
      <c r="E177" s="61">
        <v>3796000</v>
      </c>
      <c r="F177" s="62">
        <f t="shared" si="42"/>
        <v>617000</v>
      </c>
      <c r="G177" s="62">
        <v>617000</v>
      </c>
      <c r="H177" s="63">
        <f t="shared" si="43"/>
        <v>4413000</v>
      </c>
      <c r="I177" s="64">
        <v>0</v>
      </c>
      <c r="J177" s="61">
        <f>K177+L177</f>
        <v>0</v>
      </c>
      <c r="K177" s="62"/>
      <c r="L177" s="62"/>
      <c r="M177" s="62"/>
      <c r="N177" s="62"/>
      <c r="O177" s="63">
        <f t="shared" si="44"/>
        <v>0</v>
      </c>
      <c r="P177" s="65">
        <f t="shared" si="39"/>
        <v>3796000</v>
      </c>
      <c r="Q177" s="62">
        <f t="shared" si="40"/>
        <v>617000</v>
      </c>
      <c r="R177" s="63">
        <f t="shared" si="41"/>
        <v>4413000</v>
      </c>
    </row>
    <row r="178" spans="1:18" s="9" customFormat="1" ht="83.25" customHeight="1" x14ac:dyDescent="0.2">
      <c r="A178" s="7" t="s">
        <v>431</v>
      </c>
      <c r="B178" s="59" t="s">
        <v>432</v>
      </c>
      <c r="C178" s="59" t="s">
        <v>77</v>
      </c>
      <c r="D178" s="60" t="s">
        <v>433</v>
      </c>
      <c r="E178" s="61"/>
      <c r="F178" s="62"/>
      <c r="G178" s="62"/>
      <c r="H178" s="63"/>
      <c r="I178" s="64">
        <v>551200</v>
      </c>
      <c r="J178" s="61">
        <f>K178+L178</f>
        <v>34400</v>
      </c>
      <c r="K178" s="62">
        <f>34400</f>
        <v>34400</v>
      </c>
      <c r="L178" s="62"/>
      <c r="M178" s="62"/>
      <c r="N178" s="62"/>
      <c r="O178" s="63">
        <f t="shared" si="44"/>
        <v>585600</v>
      </c>
      <c r="P178" s="65">
        <f t="shared" si="39"/>
        <v>551200</v>
      </c>
      <c r="Q178" s="62">
        <f t="shared" si="40"/>
        <v>34400</v>
      </c>
      <c r="R178" s="63">
        <f t="shared" si="41"/>
        <v>585600</v>
      </c>
    </row>
    <row r="179" spans="1:18" s="9" customFormat="1" ht="15.75" customHeight="1" x14ac:dyDescent="0.2">
      <c r="A179" s="7" t="s">
        <v>249</v>
      </c>
      <c r="B179" s="59" t="s">
        <v>140</v>
      </c>
      <c r="C179" s="59" t="s">
        <v>100</v>
      </c>
      <c r="D179" s="60" t="s">
        <v>141</v>
      </c>
      <c r="E179" s="61">
        <v>3250000</v>
      </c>
      <c r="F179" s="62">
        <f t="shared" si="42"/>
        <v>965000</v>
      </c>
      <c r="G179" s="62">
        <f>700000+265000</f>
        <v>965000</v>
      </c>
      <c r="H179" s="63">
        <f t="shared" si="43"/>
        <v>4215000</v>
      </c>
      <c r="I179" s="68">
        <v>40000</v>
      </c>
      <c r="J179" s="61">
        <f>K179+L179</f>
        <v>0</v>
      </c>
      <c r="K179" s="62"/>
      <c r="L179" s="62"/>
      <c r="M179" s="62"/>
      <c r="N179" s="62"/>
      <c r="O179" s="63">
        <f t="shared" si="44"/>
        <v>40000</v>
      </c>
      <c r="P179" s="65">
        <f t="shared" si="39"/>
        <v>3290000</v>
      </c>
      <c r="Q179" s="62">
        <f t="shared" si="40"/>
        <v>965000</v>
      </c>
      <c r="R179" s="63">
        <f t="shared" si="41"/>
        <v>4255000</v>
      </c>
    </row>
    <row r="180" spans="1:18" s="9" customFormat="1" ht="22.9" customHeight="1" x14ac:dyDescent="0.2">
      <c r="A180" s="7"/>
      <c r="B180" s="59"/>
      <c r="C180" s="59"/>
      <c r="D180" s="70" t="s">
        <v>526</v>
      </c>
      <c r="E180" s="61">
        <v>0</v>
      </c>
      <c r="F180" s="62"/>
      <c r="G180" s="62"/>
      <c r="H180" s="63">
        <f t="shared" si="43"/>
        <v>0</v>
      </c>
      <c r="I180" s="68">
        <v>40000</v>
      </c>
      <c r="J180" s="61">
        <f>K180+L180</f>
        <v>0</v>
      </c>
      <c r="K180" s="62"/>
      <c r="L180" s="62"/>
      <c r="M180" s="62"/>
      <c r="N180" s="62"/>
      <c r="O180" s="63">
        <f t="shared" si="44"/>
        <v>40000</v>
      </c>
      <c r="P180" s="65">
        <f t="shared" si="39"/>
        <v>40000</v>
      </c>
      <c r="Q180" s="62">
        <f t="shared" si="40"/>
        <v>0</v>
      </c>
      <c r="R180" s="63">
        <f t="shared" si="41"/>
        <v>40000</v>
      </c>
    </row>
    <row r="181" spans="1:18" s="5" customFormat="1" ht="26.25" customHeight="1" x14ac:dyDescent="0.2">
      <c r="A181" s="19">
        <v>1100000</v>
      </c>
      <c r="B181" s="48"/>
      <c r="C181" s="48"/>
      <c r="D181" s="72" t="s">
        <v>67</v>
      </c>
      <c r="E181" s="50">
        <v>18706280</v>
      </c>
      <c r="F181" s="51">
        <f>F183+F184+F187+F188+F189+F190+F192+F193+F191+F186</f>
        <v>2782700</v>
      </c>
      <c r="G181" s="51">
        <f>G183+G184+G187+G188+G189+G190+G192+G193+G191+G186</f>
        <v>2782700</v>
      </c>
      <c r="H181" s="55">
        <f>H183+H184+H187+H188+H189+H190+H192+H193+H191+H186</f>
        <v>21488980</v>
      </c>
      <c r="I181" s="73">
        <v>200000</v>
      </c>
      <c r="J181" s="50">
        <f t="shared" ref="J181:O181" si="45">J183+J184+J187+J188+J189+J190+J192+J193+J191</f>
        <v>227825</v>
      </c>
      <c r="K181" s="51">
        <f t="shared" si="45"/>
        <v>0</v>
      </c>
      <c r="L181" s="51">
        <f t="shared" si="45"/>
        <v>227825</v>
      </c>
      <c r="M181" s="51">
        <f t="shared" si="45"/>
        <v>227825</v>
      </c>
      <c r="N181" s="51">
        <f t="shared" si="45"/>
        <v>227825</v>
      </c>
      <c r="O181" s="55">
        <f t="shared" si="45"/>
        <v>427825</v>
      </c>
      <c r="P181" s="56">
        <f>E181+I181</f>
        <v>18906280</v>
      </c>
      <c r="Q181" s="51">
        <f t="shared" si="40"/>
        <v>3010525</v>
      </c>
      <c r="R181" s="55">
        <f t="shared" si="41"/>
        <v>21916805</v>
      </c>
    </row>
    <row r="182" spans="1:18" s="5" customFormat="1" ht="27.75" customHeight="1" x14ac:dyDescent="0.2">
      <c r="A182" s="19">
        <v>1110000</v>
      </c>
      <c r="B182" s="48"/>
      <c r="C182" s="48"/>
      <c r="D182" s="72" t="s">
        <v>67</v>
      </c>
      <c r="E182" s="50"/>
      <c r="F182" s="51"/>
      <c r="G182" s="51"/>
      <c r="H182" s="52"/>
      <c r="I182" s="53"/>
      <c r="J182" s="54"/>
      <c r="K182" s="51"/>
      <c r="L182" s="51"/>
      <c r="M182" s="51"/>
      <c r="N182" s="51"/>
      <c r="O182" s="55"/>
      <c r="P182" s="85"/>
      <c r="Q182" s="74"/>
      <c r="R182" s="75"/>
    </row>
    <row r="183" spans="1:18" s="9" customFormat="1" ht="27.75" customHeight="1" x14ac:dyDescent="0.2">
      <c r="A183" s="21">
        <v>1110160</v>
      </c>
      <c r="B183" s="59" t="s">
        <v>121</v>
      </c>
      <c r="C183" s="59" t="s">
        <v>66</v>
      </c>
      <c r="D183" s="60" t="s">
        <v>69</v>
      </c>
      <c r="E183" s="61">
        <v>2340000</v>
      </c>
      <c r="F183" s="62">
        <f>G183</f>
        <v>0</v>
      </c>
      <c r="G183" s="62"/>
      <c r="H183" s="63">
        <f>E183+F183</f>
        <v>2340000</v>
      </c>
      <c r="I183" s="68">
        <v>0</v>
      </c>
      <c r="J183" s="61">
        <f>K183+L183</f>
        <v>0</v>
      </c>
      <c r="K183" s="62"/>
      <c r="L183" s="62"/>
      <c r="M183" s="62"/>
      <c r="N183" s="62"/>
      <c r="O183" s="63">
        <f>I183+J183</f>
        <v>0</v>
      </c>
      <c r="P183" s="65">
        <f t="shared" si="39"/>
        <v>2340000</v>
      </c>
      <c r="Q183" s="62">
        <f t="shared" si="40"/>
        <v>0</v>
      </c>
      <c r="R183" s="63">
        <f t="shared" si="41"/>
        <v>2340000</v>
      </c>
    </row>
    <row r="184" spans="1:18" s="9" customFormat="1" ht="35.25" customHeight="1" x14ac:dyDescent="0.2">
      <c r="A184" s="21">
        <v>1113131</v>
      </c>
      <c r="B184" s="59" t="s">
        <v>122</v>
      </c>
      <c r="C184" s="59" t="s">
        <v>90</v>
      </c>
      <c r="D184" s="106" t="s">
        <v>123</v>
      </c>
      <c r="E184" s="61">
        <v>725000</v>
      </c>
      <c r="F184" s="62">
        <f t="shared" ref="F184:F196" si="46">G184</f>
        <v>35000</v>
      </c>
      <c r="G184" s="62">
        <v>35000</v>
      </c>
      <c r="H184" s="63">
        <f>E184+F184</f>
        <v>760000</v>
      </c>
      <c r="I184" s="68">
        <v>0</v>
      </c>
      <c r="J184" s="61">
        <f t="shared" ref="J184:J193" si="47">K184+L184</f>
        <v>0</v>
      </c>
      <c r="K184" s="62"/>
      <c r="L184" s="62"/>
      <c r="M184" s="62"/>
      <c r="N184" s="62"/>
      <c r="O184" s="63">
        <f t="shared" ref="O184:O193" si="48">I184+J184</f>
        <v>0</v>
      </c>
      <c r="P184" s="65">
        <f t="shared" si="39"/>
        <v>725000</v>
      </c>
      <c r="Q184" s="62">
        <f t="shared" si="40"/>
        <v>35000</v>
      </c>
      <c r="R184" s="63">
        <f>H184+O184</f>
        <v>760000</v>
      </c>
    </row>
    <row r="185" spans="1:18" s="9" customFormat="1" ht="22.5" customHeight="1" x14ac:dyDescent="0.2">
      <c r="A185" s="21"/>
      <c r="B185" s="59"/>
      <c r="C185" s="59"/>
      <c r="D185" s="66" t="s">
        <v>526</v>
      </c>
      <c r="E185" s="61">
        <v>40000</v>
      </c>
      <c r="F185" s="62">
        <f t="shared" si="46"/>
        <v>0</v>
      </c>
      <c r="G185" s="62"/>
      <c r="H185" s="63">
        <f>E185+F185</f>
        <v>40000</v>
      </c>
      <c r="I185" s="68"/>
      <c r="J185" s="61"/>
      <c r="K185" s="62"/>
      <c r="L185" s="62"/>
      <c r="M185" s="62"/>
      <c r="N185" s="62"/>
      <c r="O185" s="63"/>
      <c r="P185" s="65"/>
      <c r="Q185" s="62">
        <f t="shared" si="40"/>
        <v>0</v>
      </c>
      <c r="R185" s="63">
        <f>H185+O185</f>
        <v>40000</v>
      </c>
    </row>
    <row r="186" spans="1:18" s="9" customFormat="1" ht="48.75" customHeight="1" x14ac:dyDescent="0.2">
      <c r="A186" s="7" t="s">
        <v>529</v>
      </c>
      <c r="B186" s="59" t="s">
        <v>153</v>
      </c>
      <c r="C186" s="59" t="s">
        <v>90</v>
      </c>
      <c r="D186" s="77" t="s">
        <v>154</v>
      </c>
      <c r="E186" s="61">
        <v>196560</v>
      </c>
      <c r="F186" s="62">
        <f t="shared" si="46"/>
        <v>0</v>
      </c>
      <c r="G186" s="62"/>
      <c r="H186" s="63">
        <f>E186+F186</f>
        <v>196560</v>
      </c>
      <c r="I186" s="64">
        <v>0</v>
      </c>
      <c r="J186" s="61">
        <f>K186+L186</f>
        <v>0</v>
      </c>
      <c r="K186" s="62"/>
      <c r="L186" s="62"/>
      <c r="M186" s="62"/>
      <c r="N186" s="62"/>
      <c r="O186" s="63">
        <f>I186+J186</f>
        <v>0</v>
      </c>
      <c r="P186" s="65">
        <f>E186+I186</f>
        <v>196560</v>
      </c>
      <c r="Q186" s="62">
        <f>F186+J186</f>
        <v>0</v>
      </c>
      <c r="R186" s="63">
        <f>H186+O186</f>
        <v>196560</v>
      </c>
    </row>
    <row r="187" spans="1:18" s="9" customFormat="1" ht="25.5" customHeight="1" x14ac:dyDescent="0.2">
      <c r="A187" s="21">
        <v>1115011</v>
      </c>
      <c r="B187" s="59" t="s">
        <v>93</v>
      </c>
      <c r="C187" s="59" t="s">
        <v>91</v>
      </c>
      <c r="D187" s="60" t="s">
        <v>92</v>
      </c>
      <c r="E187" s="61">
        <v>914000</v>
      </c>
      <c r="F187" s="62">
        <f t="shared" si="46"/>
        <v>215000</v>
      </c>
      <c r="G187" s="62">
        <f>200000+15000</f>
        <v>215000</v>
      </c>
      <c r="H187" s="63">
        <f t="shared" ref="H187:H192" si="49">E187+F187</f>
        <v>1129000</v>
      </c>
      <c r="I187" s="68">
        <v>0</v>
      </c>
      <c r="J187" s="61">
        <f t="shared" si="47"/>
        <v>0</v>
      </c>
      <c r="K187" s="62"/>
      <c r="L187" s="62"/>
      <c r="M187" s="62"/>
      <c r="N187" s="62"/>
      <c r="O187" s="63">
        <f t="shared" si="48"/>
        <v>0</v>
      </c>
      <c r="P187" s="65">
        <f t="shared" si="39"/>
        <v>914000</v>
      </c>
      <c r="Q187" s="62">
        <f t="shared" si="40"/>
        <v>215000</v>
      </c>
      <c r="R187" s="63">
        <f t="shared" si="41"/>
        <v>1129000</v>
      </c>
    </row>
    <row r="188" spans="1:18" s="9" customFormat="1" ht="23.25" customHeight="1" x14ac:dyDescent="0.2">
      <c r="A188" s="21">
        <v>1115012</v>
      </c>
      <c r="B188" s="59" t="s">
        <v>120</v>
      </c>
      <c r="C188" s="59" t="s">
        <v>91</v>
      </c>
      <c r="D188" s="60" t="s">
        <v>119</v>
      </c>
      <c r="E188" s="61">
        <v>586000</v>
      </c>
      <c r="F188" s="62">
        <f t="shared" si="46"/>
        <v>60000</v>
      </c>
      <c r="G188" s="62">
        <v>60000</v>
      </c>
      <c r="H188" s="63">
        <f t="shared" si="49"/>
        <v>646000</v>
      </c>
      <c r="I188" s="68">
        <v>0</v>
      </c>
      <c r="J188" s="61">
        <f t="shared" si="47"/>
        <v>0</v>
      </c>
      <c r="K188" s="62"/>
      <c r="L188" s="62"/>
      <c r="M188" s="62"/>
      <c r="N188" s="62"/>
      <c r="O188" s="63">
        <f t="shared" si="48"/>
        <v>0</v>
      </c>
      <c r="P188" s="65">
        <f t="shared" si="39"/>
        <v>586000</v>
      </c>
      <c r="Q188" s="62">
        <f t="shared" si="40"/>
        <v>60000</v>
      </c>
      <c r="R188" s="63">
        <f t="shared" si="41"/>
        <v>646000</v>
      </c>
    </row>
    <row r="189" spans="1:18" s="9" customFormat="1" ht="26.25" customHeight="1" x14ac:dyDescent="0.2">
      <c r="A189" s="21">
        <v>1115021</v>
      </c>
      <c r="B189" s="59" t="s">
        <v>124</v>
      </c>
      <c r="C189" s="59" t="s">
        <v>91</v>
      </c>
      <c r="D189" s="60" t="s">
        <v>423</v>
      </c>
      <c r="E189" s="61">
        <v>371500</v>
      </c>
      <c r="F189" s="62">
        <f t="shared" si="46"/>
        <v>-11600</v>
      </c>
      <c r="G189" s="62">
        <v>-11600</v>
      </c>
      <c r="H189" s="63">
        <f t="shared" si="49"/>
        <v>359900</v>
      </c>
      <c r="I189" s="68">
        <v>0</v>
      </c>
      <c r="J189" s="61">
        <f t="shared" si="47"/>
        <v>0</v>
      </c>
      <c r="K189" s="62"/>
      <c r="L189" s="62"/>
      <c r="M189" s="62"/>
      <c r="N189" s="62"/>
      <c r="O189" s="63">
        <f t="shared" si="48"/>
        <v>0</v>
      </c>
      <c r="P189" s="65">
        <f t="shared" si="39"/>
        <v>371500</v>
      </c>
      <c r="Q189" s="62">
        <f t="shared" si="40"/>
        <v>-11600</v>
      </c>
      <c r="R189" s="63">
        <f t="shared" si="41"/>
        <v>359900</v>
      </c>
    </row>
    <row r="190" spans="1:18" s="9" customFormat="1" ht="27.75" customHeight="1" x14ac:dyDescent="0.2">
      <c r="A190" s="21">
        <v>1115022</v>
      </c>
      <c r="B190" s="59" t="s">
        <v>125</v>
      </c>
      <c r="C190" s="59" t="s">
        <v>392</v>
      </c>
      <c r="D190" s="60" t="s">
        <v>424</v>
      </c>
      <c r="E190" s="61">
        <v>140000</v>
      </c>
      <c r="F190" s="62">
        <f t="shared" si="46"/>
        <v>11600</v>
      </c>
      <c r="G190" s="62">
        <v>11600</v>
      </c>
      <c r="H190" s="63">
        <f t="shared" si="49"/>
        <v>151600</v>
      </c>
      <c r="I190" s="68">
        <v>0</v>
      </c>
      <c r="J190" s="61">
        <f t="shared" si="47"/>
        <v>0</v>
      </c>
      <c r="K190" s="62"/>
      <c r="L190" s="62"/>
      <c r="M190" s="62"/>
      <c r="N190" s="62"/>
      <c r="O190" s="63">
        <f t="shared" si="48"/>
        <v>0</v>
      </c>
      <c r="P190" s="65">
        <f t="shared" si="39"/>
        <v>140000</v>
      </c>
      <c r="Q190" s="62">
        <f t="shared" si="40"/>
        <v>11600</v>
      </c>
      <c r="R190" s="63">
        <f t="shared" si="41"/>
        <v>151600</v>
      </c>
    </row>
    <row r="191" spans="1:18" s="9" customFormat="1" ht="22.9" customHeight="1" x14ac:dyDescent="0.2">
      <c r="A191" s="21">
        <v>1115041</v>
      </c>
      <c r="B191" s="59" t="s">
        <v>391</v>
      </c>
      <c r="C191" s="59" t="s">
        <v>91</v>
      </c>
      <c r="D191" s="60" t="s">
        <v>390</v>
      </c>
      <c r="E191" s="61">
        <v>2473000</v>
      </c>
      <c r="F191" s="62">
        <f t="shared" si="46"/>
        <v>134100</v>
      </c>
      <c r="G191" s="62">
        <f>40000+94100</f>
        <v>134100</v>
      </c>
      <c r="H191" s="63">
        <f t="shared" si="49"/>
        <v>2607100</v>
      </c>
      <c r="I191" s="64">
        <v>200000</v>
      </c>
      <c r="J191" s="61">
        <f t="shared" si="47"/>
        <v>227825</v>
      </c>
      <c r="K191" s="62"/>
      <c r="L191" s="62">
        <f>227825</f>
        <v>227825</v>
      </c>
      <c r="M191" s="62">
        <f>227825</f>
        <v>227825</v>
      </c>
      <c r="N191" s="62">
        <f>227825</f>
        <v>227825</v>
      </c>
      <c r="O191" s="63">
        <f t="shared" si="48"/>
        <v>427825</v>
      </c>
      <c r="P191" s="65">
        <f t="shared" si="39"/>
        <v>2673000</v>
      </c>
      <c r="Q191" s="62">
        <f t="shared" si="40"/>
        <v>361925</v>
      </c>
      <c r="R191" s="63">
        <f t="shared" si="41"/>
        <v>3034925</v>
      </c>
    </row>
    <row r="192" spans="1:18" s="9" customFormat="1" ht="46.15" customHeight="1" x14ac:dyDescent="0.2">
      <c r="A192" s="21">
        <v>1115061</v>
      </c>
      <c r="B192" s="59" t="s">
        <v>127</v>
      </c>
      <c r="C192" s="59" t="s">
        <v>91</v>
      </c>
      <c r="D192" s="60" t="s">
        <v>128</v>
      </c>
      <c r="E192" s="61">
        <v>450000</v>
      </c>
      <c r="F192" s="62">
        <f t="shared" si="46"/>
        <v>20300</v>
      </c>
      <c r="G192" s="62">
        <v>20300</v>
      </c>
      <c r="H192" s="63">
        <f t="shared" si="49"/>
        <v>470300</v>
      </c>
      <c r="I192" s="68">
        <v>0</v>
      </c>
      <c r="J192" s="61">
        <f t="shared" si="47"/>
        <v>0</v>
      </c>
      <c r="K192" s="62"/>
      <c r="L192" s="62"/>
      <c r="M192" s="62"/>
      <c r="N192" s="62"/>
      <c r="O192" s="63">
        <f t="shared" si="48"/>
        <v>0</v>
      </c>
      <c r="P192" s="65">
        <f t="shared" si="39"/>
        <v>450000</v>
      </c>
      <c r="Q192" s="62">
        <f t="shared" si="40"/>
        <v>20300</v>
      </c>
      <c r="R192" s="63">
        <f t="shared" si="41"/>
        <v>470300</v>
      </c>
    </row>
    <row r="193" spans="1:18" s="9" customFormat="1" ht="36.75" customHeight="1" x14ac:dyDescent="0.2">
      <c r="A193" s="21">
        <v>1115062</v>
      </c>
      <c r="B193" s="59" t="s">
        <v>129</v>
      </c>
      <c r="C193" s="59" t="s">
        <v>91</v>
      </c>
      <c r="D193" s="60" t="s">
        <v>130</v>
      </c>
      <c r="E193" s="61">
        <v>10510220</v>
      </c>
      <c r="F193" s="107">
        <f>G193</f>
        <v>2318300</v>
      </c>
      <c r="G193" s="107">
        <f>35000+25000+1616300+49000+150000+170000+180000+3000+10000+80000</f>
        <v>2318300</v>
      </c>
      <c r="H193" s="108">
        <f>E193+F193</f>
        <v>12828520</v>
      </c>
      <c r="I193" s="68">
        <v>0</v>
      </c>
      <c r="J193" s="61">
        <f t="shared" si="47"/>
        <v>0</v>
      </c>
      <c r="K193" s="62"/>
      <c r="L193" s="62"/>
      <c r="M193" s="62"/>
      <c r="N193" s="62"/>
      <c r="O193" s="63">
        <f t="shared" si="48"/>
        <v>0</v>
      </c>
      <c r="P193" s="65">
        <f>E193+I193</f>
        <v>10510220</v>
      </c>
      <c r="Q193" s="62">
        <f t="shared" si="40"/>
        <v>2318300</v>
      </c>
      <c r="R193" s="63">
        <f t="shared" si="41"/>
        <v>12828520</v>
      </c>
    </row>
    <row r="194" spans="1:18" s="9" customFormat="1" ht="12" customHeight="1" x14ac:dyDescent="0.2">
      <c r="A194" s="21"/>
      <c r="B194" s="59"/>
      <c r="C194" s="59"/>
      <c r="D194" s="69" t="s">
        <v>417</v>
      </c>
      <c r="E194" s="61"/>
      <c r="F194" s="107"/>
      <c r="G194" s="107"/>
      <c r="H194" s="108"/>
      <c r="I194" s="68"/>
      <c r="J194" s="61"/>
      <c r="K194" s="62"/>
      <c r="L194" s="62"/>
      <c r="M194" s="62"/>
      <c r="N194" s="62"/>
      <c r="O194" s="63"/>
      <c r="P194" s="65"/>
      <c r="Q194" s="62">
        <f t="shared" si="40"/>
        <v>0</v>
      </c>
      <c r="R194" s="63">
        <f t="shared" si="41"/>
        <v>0</v>
      </c>
    </row>
    <row r="195" spans="1:18" s="9" customFormat="1" ht="20.25" customHeight="1" x14ac:dyDescent="0.2">
      <c r="A195" s="21"/>
      <c r="B195" s="59"/>
      <c r="C195" s="59"/>
      <c r="D195" s="69" t="s">
        <v>331</v>
      </c>
      <c r="E195" s="61">
        <v>1000000</v>
      </c>
      <c r="F195" s="107">
        <f t="shared" si="46"/>
        <v>0</v>
      </c>
      <c r="G195" s="107"/>
      <c r="H195" s="108">
        <f>E195+F195</f>
        <v>1000000</v>
      </c>
      <c r="I195" s="68"/>
      <c r="J195" s="61"/>
      <c r="K195" s="62"/>
      <c r="L195" s="62"/>
      <c r="M195" s="62"/>
      <c r="N195" s="62"/>
      <c r="O195" s="63"/>
      <c r="P195" s="65"/>
      <c r="Q195" s="62">
        <f>F195+J195</f>
        <v>0</v>
      </c>
      <c r="R195" s="63">
        <f t="shared" si="41"/>
        <v>1000000</v>
      </c>
    </row>
    <row r="196" spans="1:18" s="9" customFormat="1" ht="26.25" customHeight="1" x14ac:dyDescent="0.2">
      <c r="A196" s="21"/>
      <c r="B196" s="59"/>
      <c r="C196" s="59"/>
      <c r="D196" s="69" t="s">
        <v>551</v>
      </c>
      <c r="E196" s="61">
        <v>50000</v>
      </c>
      <c r="F196" s="107">
        <f t="shared" si="46"/>
        <v>0</v>
      </c>
      <c r="G196" s="107"/>
      <c r="H196" s="108">
        <f>E196+F196</f>
        <v>50000</v>
      </c>
      <c r="I196" s="68"/>
      <c r="J196" s="61"/>
      <c r="K196" s="62"/>
      <c r="L196" s="62"/>
      <c r="M196" s="62"/>
      <c r="N196" s="62"/>
      <c r="O196" s="63"/>
      <c r="P196" s="65"/>
      <c r="Q196" s="62">
        <f>F196+J196</f>
        <v>0</v>
      </c>
      <c r="R196" s="63">
        <f t="shared" si="41"/>
        <v>50000</v>
      </c>
    </row>
    <row r="197" spans="1:18" s="5" customFormat="1" ht="25.5" x14ac:dyDescent="0.2">
      <c r="A197" s="11" t="s">
        <v>194</v>
      </c>
      <c r="B197" s="48"/>
      <c r="C197" s="48"/>
      <c r="D197" s="109" t="s">
        <v>46</v>
      </c>
      <c r="E197" s="50">
        <v>117200853</v>
      </c>
      <c r="F197" s="51">
        <f>F199+F201+F202+F203+F204+F205+F207+F200+F210+F208</f>
        <v>17228205</v>
      </c>
      <c r="G197" s="51">
        <f>G199+G201+G202+G203+G204+G205+G207+G200+G210+G208</f>
        <v>17228205</v>
      </c>
      <c r="H197" s="55">
        <f>H199+H201+H202+H203+H204+H205+H207+H200+H210+H208</f>
        <v>134429058</v>
      </c>
      <c r="I197" s="73">
        <v>357968876</v>
      </c>
      <c r="J197" s="50">
        <f t="shared" ref="J197:O197" si="50">J199+J201+J202+J203+J204+J205+J207+J200+J210+J208+J206+J209</f>
        <v>-18404840</v>
      </c>
      <c r="K197" s="51">
        <f t="shared" si="50"/>
        <v>1000000</v>
      </c>
      <c r="L197" s="51">
        <f t="shared" si="50"/>
        <v>-19404840</v>
      </c>
      <c r="M197" s="51">
        <f t="shared" si="50"/>
        <v>-18370440</v>
      </c>
      <c r="N197" s="51">
        <f t="shared" si="50"/>
        <v>-39741204</v>
      </c>
      <c r="O197" s="55">
        <f t="shared" si="50"/>
        <v>339564036</v>
      </c>
      <c r="P197" s="56">
        <f>E197+I197</f>
        <v>475169729</v>
      </c>
      <c r="Q197" s="51">
        <f>F197+J197</f>
        <v>-1176635</v>
      </c>
      <c r="R197" s="55">
        <f>H197+O197</f>
        <v>473993094</v>
      </c>
    </row>
    <row r="198" spans="1:18" s="5" customFormat="1" ht="25.5" x14ac:dyDescent="0.2">
      <c r="A198" s="11" t="s">
        <v>195</v>
      </c>
      <c r="B198" s="48"/>
      <c r="C198" s="48"/>
      <c r="D198" s="49" t="s">
        <v>46</v>
      </c>
      <c r="E198" s="50"/>
      <c r="F198" s="51"/>
      <c r="G198" s="51"/>
      <c r="H198" s="55"/>
      <c r="I198" s="73"/>
      <c r="J198" s="54"/>
      <c r="K198" s="51"/>
      <c r="L198" s="51"/>
      <c r="M198" s="51"/>
      <c r="N198" s="51"/>
      <c r="O198" s="55"/>
      <c r="P198" s="85"/>
      <c r="Q198" s="74"/>
      <c r="R198" s="75"/>
    </row>
    <row r="199" spans="1:18" s="9" customFormat="1" ht="33" customHeight="1" x14ac:dyDescent="0.2">
      <c r="A199" s="7" t="s">
        <v>196</v>
      </c>
      <c r="B199" s="59" t="s">
        <v>121</v>
      </c>
      <c r="C199" s="59" t="s">
        <v>66</v>
      </c>
      <c r="D199" s="60" t="s">
        <v>47</v>
      </c>
      <c r="E199" s="61">
        <v>9129300</v>
      </c>
      <c r="F199" s="62">
        <f>G199</f>
        <v>56000</v>
      </c>
      <c r="G199" s="62">
        <f>56000</f>
        <v>56000</v>
      </c>
      <c r="H199" s="63">
        <f>E199+F199</f>
        <v>9185300</v>
      </c>
      <c r="I199" s="64">
        <v>110000</v>
      </c>
      <c r="J199" s="61">
        <f>K199+L199</f>
        <v>0</v>
      </c>
      <c r="K199" s="62"/>
      <c r="L199" s="62"/>
      <c r="M199" s="62"/>
      <c r="N199" s="62"/>
      <c r="O199" s="63">
        <f>I199+J199</f>
        <v>110000</v>
      </c>
      <c r="P199" s="65">
        <f t="shared" ref="P199:P271" si="51">E199+I199</f>
        <v>9239300</v>
      </c>
      <c r="Q199" s="62">
        <f t="shared" ref="Q199:Q271" si="52">F199+J199</f>
        <v>56000</v>
      </c>
      <c r="R199" s="63">
        <f t="shared" ref="R199:R271" si="53">H199+O199</f>
        <v>9295300</v>
      </c>
    </row>
    <row r="200" spans="1:18" s="9" customFormat="1" ht="17.45" customHeight="1" x14ac:dyDescent="0.2">
      <c r="A200" s="7" t="s">
        <v>341</v>
      </c>
      <c r="B200" s="59" t="s">
        <v>49</v>
      </c>
      <c r="C200" s="59" t="s">
        <v>53</v>
      </c>
      <c r="D200" s="60" t="s">
        <v>262</v>
      </c>
      <c r="E200" s="61">
        <v>3594600</v>
      </c>
      <c r="F200" s="62">
        <f t="shared" ref="F200:F207" si="54">G200</f>
        <v>657200</v>
      </c>
      <c r="G200" s="62">
        <v>657200</v>
      </c>
      <c r="H200" s="63">
        <f t="shared" ref="H200:H207" si="55">E200+F200</f>
        <v>4251800</v>
      </c>
      <c r="I200" s="64">
        <v>4755000</v>
      </c>
      <c r="J200" s="61">
        <f>K200+L200</f>
        <v>1050000</v>
      </c>
      <c r="K200" s="62"/>
      <c r="L200" s="62">
        <f>1050000</f>
        <v>1050000</v>
      </c>
      <c r="M200" s="62">
        <f>1050000</f>
        <v>1050000</v>
      </c>
      <c r="N200" s="62">
        <f>1050000</f>
        <v>1050000</v>
      </c>
      <c r="O200" s="63">
        <f t="shared" ref="O200:O210" si="56">I200+J200</f>
        <v>5805000</v>
      </c>
      <c r="P200" s="65">
        <f t="shared" si="51"/>
        <v>8349600</v>
      </c>
      <c r="Q200" s="62">
        <f t="shared" si="52"/>
        <v>1707200</v>
      </c>
      <c r="R200" s="63">
        <f t="shared" si="53"/>
        <v>10056800</v>
      </c>
    </row>
    <row r="201" spans="1:18" s="9" customFormat="1" ht="24" customHeight="1" x14ac:dyDescent="0.2">
      <c r="A201" s="7" t="s">
        <v>354</v>
      </c>
      <c r="B201" s="59" t="s">
        <v>355</v>
      </c>
      <c r="C201" s="59" t="s">
        <v>76</v>
      </c>
      <c r="D201" s="60" t="s">
        <v>356</v>
      </c>
      <c r="E201" s="61">
        <v>1770053</v>
      </c>
      <c r="F201" s="62">
        <f t="shared" si="54"/>
        <v>306095</v>
      </c>
      <c r="G201" s="62">
        <v>306095</v>
      </c>
      <c r="H201" s="63">
        <f t="shared" si="55"/>
        <v>2076148</v>
      </c>
      <c r="I201" s="64">
        <v>3936731</v>
      </c>
      <c r="J201" s="61">
        <f t="shared" ref="J201:J210" si="57">K201+L201</f>
        <v>1040540</v>
      </c>
      <c r="K201" s="62"/>
      <c r="L201" s="62">
        <f>939554+100986</f>
        <v>1040540</v>
      </c>
      <c r="M201" s="62">
        <f>939554+100986</f>
        <v>1040540</v>
      </c>
      <c r="N201" s="62">
        <f>939554</f>
        <v>939554</v>
      </c>
      <c r="O201" s="63">
        <f t="shared" si="56"/>
        <v>4977271</v>
      </c>
      <c r="P201" s="65">
        <f t="shared" si="51"/>
        <v>5706784</v>
      </c>
      <c r="Q201" s="62">
        <f t="shared" si="52"/>
        <v>1346635</v>
      </c>
      <c r="R201" s="63">
        <f t="shared" si="53"/>
        <v>7053419</v>
      </c>
    </row>
    <row r="202" spans="1:18" s="9" customFormat="1" ht="21" hidden="1" customHeight="1" x14ac:dyDescent="0.2">
      <c r="A202" s="7">
        <v>4116021</v>
      </c>
      <c r="B202" s="59">
        <v>6021</v>
      </c>
      <c r="C202" s="59" t="s">
        <v>75</v>
      </c>
      <c r="D202" s="60" t="s">
        <v>48</v>
      </c>
      <c r="E202" s="61">
        <v>0</v>
      </c>
      <c r="F202" s="62">
        <f t="shared" si="54"/>
        <v>0</v>
      </c>
      <c r="G202" s="62"/>
      <c r="H202" s="63">
        <f t="shared" si="55"/>
        <v>0</v>
      </c>
      <c r="I202" s="64">
        <v>0</v>
      </c>
      <c r="J202" s="61">
        <f t="shared" si="57"/>
        <v>0</v>
      </c>
      <c r="K202" s="62"/>
      <c r="L202" s="62"/>
      <c r="M202" s="62"/>
      <c r="N202" s="62"/>
      <c r="O202" s="63">
        <f t="shared" si="56"/>
        <v>0</v>
      </c>
      <c r="P202" s="65">
        <f t="shared" si="51"/>
        <v>0</v>
      </c>
      <c r="Q202" s="62">
        <f t="shared" si="52"/>
        <v>0</v>
      </c>
      <c r="R202" s="63">
        <f t="shared" si="53"/>
        <v>0</v>
      </c>
    </row>
    <row r="203" spans="1:18" s="9" customFormat="1" ht="31.5" customHeight="1" x14ac:dyDescent="0.2">
      <c r="A203" s="7" t="s">
        <v>197</v>
      </c>
      <c r="B203" s="59" t="s">
        <v>161</v>
      </c>
      <c r="C203" s="59" t="s">
        <v>76</v>
      </c>
      <c r="D203" s="60" t="s">
        <v>162</v>
      </c>
      <c r="E203" s="61">
        <v>4200000</v>
      </c>
      <c r="F203" s="62">
        <f t="shared" si="54"/>
        <v>0</v>
      </c>
      <c r="G203" s="62"/>
      <c r="H203" s="63">
        <f t="shared" si="55"/>
        <v>4200000</v>
      </c>
      <c r="I203" s="64">
        <v>0</v>
      </c>
      <c r="J203" s="61">
        <f t="shared" si="57"/>
        <v>0</v>
      </c>
      <c r="K203" s="62"/>
      <c r="L203" s="62"/>
      <c r="M203" s="62"/>
      <c r="N203" s="62"/>
      <c r="O203" s="63">
        <f t="shared" si="56"/>
        <v>0</v>
      </c>
      <c r="P203" s="65">
        <f t="shared" si="51"/>
        <v>4200000</v>
      </c>
      <c r="Q203" s="62">
        <f t="shared" si="52"/>
        <v>0</v>
      </c>
      <c r="R203" s="63">
        <f t="shared" si="53"/>
        <v>4200000</v>
      </c>
    </row>
    <row r="204" spans="1:18" s="9" customFormat="1" ht="19.5" customHeight="1" x14ac:dyDescent="0.2">
      <c r="A204" s="7" t="s">
        <v>198</v>
      </c>
      <c r="B204" s="59" t="s">
        <v>163</v>
      </c>
      <c r="C204" s="59" t="s">
        <v>76</v>
      </c>
      <c r="D204" s="60" t="s">
        <v>164</v>
      </c>
      <c r="E204" s="61">
        <v>98506900</v>
      </c>
      <c r="F204" s="62">
        <f t="shared" si="54"/>
        <v>16208910</v>
      </c>
      <c r="G204" s="62">
        <v>16208910</v>
      </c>
      <c r="H204" s="63">
        <f t="shared" si="55"/>
        <v>114715810</v>
      </c>
      <c r="I204" s="64">
        <v>160816718</v>
      </c>
      <c r="J204" s="61">
        <f t="shared" si="57"/>
        <v>-9888280</v>
      </c>
      <c r="K204" s="62"/>
      <c r="L204" s="62">
        <f>-14531917+4643637</f>
        <v>-9888280</v>
      </c>
      <c r="M204" s="62">
        <f>-14531917+4643637</f>
        <v>-9888280</v>
      </c>
      <c r="N204" s="62">
        <f>-14531917</f>
        <v>-14531917</v>
      </c>
      <c r="O204" s="63">
        <f>I204+J204</f>
        <v>150928438</v>
      </c>
      <c r="P204" s="65">
        <f t="shared" si="51"/>
        <v>259323618</v>
      </c>
      <c r="Q204" s="62">
        <f t="shared" si="52"/>
        <v>6320630</v>
      </c>
      <c r="R204" s="63">
        <f>H204+O204</f>
        <v>265644248</v>
      </c>
    </row>
    <row r="205" spans="1:18" s="9" customFormat="1" ht="27" customHeight="1" x14ac:dyDescent="0.2">
      <c r="A205" s="7" t="s">
        <v>357</v>
      </c>
      <c r="B205" s="59" t="s">
        <v>358</v>
      </c>
      <c r="C205" s="59" t="s">
        <v>318</v>
      </c>
      <c r="D205" s="60" t="s">
        <v>359</v>
      </c>
      <c r="E205" s="61">
        <v>0</v>
      </c>
      <c r="F205" s="62">
        <f t="shared" si="54"/>
        <v>0</v>
      </c>
      <c r="G205" s="62"/>
      <c r="H205" s="63">
        <f t="shared" si="55"/>
        <v>0</v>
      </c>
      <c r="I205" s="64">
        <v>90168950</v>
      </c>
      <c r="J205" s="61">
        <f t="shared" si="57"/>
        <v>-3525700</v>
      </c>
      <c r="K205" s="62"/>
      <c r="L205" s="62">
        <f>-5651841+2126141</f>
        <v>-3525700</v>
      </c>
      <c r="M205" s="62">
        <f>-5651841+2126141</f>
        <v>-3525700</v>
      </c>
      <c r="N205" s="62">
        <f>-5651841</f>
        <v>-5651841</v>
      </c>
      <c r="O205" s="63">
        <f t="shared" si="56"/>
        <v>86643250</v>
      </c>
      <c r="P205" s="65">
        <f t="shared" si="51"/>
        <v>90168950</v>
      </c>
      <c r="Q205" s="62">
        <f t="shared" si="52"/>
        <v>-3525700</v>
      </c>
      <c r="R205" s="63">
        <f t="shared" si="53"/>
        <v>86643250</v>
      </c>
    </row>
    <row r="206" spans="1:18" s="9" customFormat="1" ht="37.5" customHeight="1" x14ac:dyDescent="0.2">
      <c r="A206" s="7" t="s">
        <v>510</v>
      </c>
      <c r="B206" s="101" t="s">
        <v>501</v>
      </c>
      <c r="C206" s="101" t="s">
        <v>77</v>
      </c>
      <c r="D206" s="102" t="s">
        <v>502</v>
      </c>
      <c r="E206" s="61"/>
      <c r="F206" s="62"/>
      <c r="G206" s="62"/>
      <c r="H206" s="63"/>
      <c r="I206" s="64">
        <v>126377</v>
      </c>
      <c r="J206" s="61">
        <f t="shared" si="57"/>
        <v>0</v>
      </c>
      <c r="K206" s="62"/>
      <c r="L206" s="62"/>
      <c r="M206" s="62"/>
      <c r="N206" s="62"/>
      <c r="O206" s="63">
        <f t="shared" si="56"/>
        <v>126377</v>
      </c>
      <c r="P206" s="65">
        <f>E206+I206</f>
        <v>126377</v>
      </c>
      <c r="Q206" s="62">
        <f>F206+J206</f>
        <v>0</v>
      </c>
      <c r="R206" s="63">
        <f>H206+O206</f>
        <v>126377</v>
      </c>
    </row>
    <row r="207" spans="1:18" s="9" customFormat="1" ht="25.5" customHeight="1" x14ac:dyDescent="0.2">
      <c r="A207" s="7" t="s">
        <v>199</v>
      </c>
      <c r="B207" s="59" t="s">
        <v>144</v>
      </c>
      <c r="C207" s="59" t="s">
        <v>77</v>
      </c>
      <c r="D207" s="60" t="s">
        <v>39</v>
      </c>
      <c r="E207" s="61">
        <v>0</v>
      </c>
      <c r="F207" s="62">
        <f t="shared" si="54"/>
        <v>0</v>
      </c>
      <c r="G207" s="62"/>
      <c r="H207" s="63">
        <f t="shared" si="55"/>
        <v>0</v>
      </c>
      <c r="I207" s="64">
        <v>96555100</v>
      </c>
      <c r="J207" s="61">
        <f t="shared" si="57"/>
        <v>-7047000</v>
      </c>
      <c r="K207" s="62"/>
      <c r="L207" s="62">
        <f>-21547000+14500000</f>
        <v>-7047000</v>
      </c>
      <c r="M207" s="62">
        <f>-21547000+14500000</f>
        <v>-7047000</v>
      </c>
      <c r="N207" s="62">
        <f>-21547000</f>
        <v>-21547000</v>
      </c>
      <c r="O207" s="63">
        <f t="shared" si="56"/>
        <v>89508100</v>
      </c>
      <c r="P207" s="65">
        <f t="shared" si="51"/>
        <v>96555100</v>
      </c>
      <c r="Q207" s="62">
        <f t="shared" si="52"/>
        <v>-7047000</v>
      </c>
      <c r="R207" s="63">
        <f t="shared" si="53"/>
        <v>89508100</v>
      </c>
    </row>
    <row r="208" spans="1:18" s="9" customFormat="1" ht="82.5" customHeight="1" x14ac:dyDescent="0.2">
      <c r="A208" s="7" t="s">
        <v>438</v>
      </c>
      <c r="B208" s="59" t="s">
        <v>432</v>
      </c>
      <c r="C208" s="59" t="s">
        <v>77</v>
      </c>
      <c r="D208" s="60" t="s">
        <v>433</v>
      </c>
      <c r="E208" s="61"/>
      <c r="F208" s="62"/>
      <c r="G208" s="62"/>
      <c r="H208" s="63"/>
      <c r="I208" s="64">
        <v>300000</v>
      </c>
      <c r="J208" s="61">
        <f t="shared" si="57"/>
        <v>-34400</v>
      </c>
      <c r="K208" s="62"/>
      <c r="L208" s="62">
        <f>-34400</f>
        <v>-34400</v>
      </c>
      <c r="M208" s="62"/>
      <c r="N208" s="62"/>
      <c r="O208" s="63">
        <f t="shared" si="56"/>
        <v>265600</v>
      </c>
      <c r="P208" s="65">
        <f t="shared" si="51"/>
        <v>300000</v>
      </c>
      <c r="Q208" s="62">
        <f t="shared" si="52"/>
        <v>-34400</v>
      </c>
      <c r="R208" s="63">
        <f t="shared" si="53"/>
        <v>265600</v>
      </c>
    </row>
    <row r="209" spans="1:18" s="9" customFormat="1" ht="18" customHeight="1" x14ac:dyDescent="0.2">
      <c r="A209" s="10" t="s">
        <v>541</v>
      </c>
      <c r="B209" s="59" t="s">
        <v>497</v>
      </c>
      <c r="C209" s="59" t="s">
        <v>499</v>
      </c>
      <c r="D209" s="60" t="s">
        <v>498</v>
      </c>
      <c r="E209" s="61"/>
      <c r="F209" s="62"/>
      <c r="G209" s="62"/>
      <c r="H209" s="63"/>
      <c r="I209" s="64">
        <v>1000000</v>
      </c>
      <c r="J209" s="61">
        <f t="shared" si="57"/>
        <v>0</v>
      </c>
      <c r="K209" s="62">
        <v>1000000</v>
      </c>
      <c r="L209" s="62">
        <f>-1000000</f>
        <v>-1000000</v>
      </c>
      <c r="M209" s="62"/>
      <c r="N209" s="62"/>
      <c r="O209" s="63">
        <f t="shared" si="56"/>
        <v>1000000</v>
      </c>
      <c r="P209" s="65">
        <f>E209+I209</f>
        <v>1000000</v>
      </c>
      <c r="Q209" s="62">
        <f>F209+J209</f>
        <v>0</v>
      </c>
      <c r="R209" s="63">
        <f>H209+O209</f>
        <v>1000000</v>
      </c>
    </row>
    <row r="210" spans="1:18" s="9" customFormat="1" ht="24" customHeight="1" x14ac:dyDescent="0.2">
      <c r="A210" s="7">
        <v>1218340</v>
      </c>
      <c r="B210" s="59" t="s">
        <v>387</v>
      </c>
      <c r="C210" s="59" t="s">
        <v>388</v>
      </c>
      <c r="D210" s="60" t="s">
        <v>389</v>
      </c>
      <c r="E210" s="61"/>
      <c r="F210" s="62"/>
      <c r="G210" s="62"/>
      <c r="H210" s="63"/>
      <c r="I210" s="64">
        <v>200000</v>
      </c>
      <c r="J210" s="61">
        <f t="shared" si="57"/>
        <v>0</v>
      </c>
      <c r="K210" s="62"/>
      <c r="L210" s="62"/>
      <c r="M210" s="62"/>
      <c r="N210" s="62"/>
      <c r="O210" s="63">
        <f t="shared" si="56"/>
        <v>200000</v>
      </c>
      <c r="P210" s="65">
        <f t="shared" si="51"/>
        <v>200000</v>
      </c>
      <c r="Q210" s="62">
        <f t="shared" si="52"/>
        <v>0</v>
      </c>
      <c r="R210" s="63">
        <f t="shared" si="53"/>
        <v>200000</v>
      </c>
    </row>
    <row r="211" spans="1:18" s="5" customFormat="1" ht="28.5" customHeight="1" x14ac:dyDescent="0.2">
      <c r="A211" s="11" t="s">
        <v>336</v>
      </c>
      <c r="B211" s="48"/>
      <c r="C211" s="48"/>
      <c r="D211" s="49" t="s">
        <v>24</v>
      </c>
      <c r="E211" s="50">
        <v>1956000</v>
      </c>
      <c r="F211" s="51">
        <f>F213+F214+F233</f>
        <v>135000</v>
      </c>
      <c r="G211" s="51">
        <f>G213+G214+G233</f>
        <v>135000</v>
      </c>
      <c r="H211" s="55">
        <f>H213+H214+H233</f>
        <v>2091000</v>
      </c>
      <c r="I211" s="73">
        <v>877446954</v>
      </c>
      <c r="J211" s="50">
        <f t="shared" ref="J211:O211" si="58">SUM(J213:J234)</f>
        <v>-76322331</v>
      </c>
      <c r="K211" s="51">
        <f t="shared" si="58"/>
        <v>0</v>
      </c>
      <c r="L211" s="51">
        <f t="shared" si="58"/>
        <v>-76322331</v>
      </c>
      <c r="M211" s="51">
        <f t="shared" si="58"/>
        <v>-76322331</v>
      </c>
      <c r="N211" s="51">
        <f t="shared" si="58"/>
        <v>-68635431</v>
      </c>
      <c r="O211" s="55">
        <f t="shared" si="58"/>
        <v>801124623</v>
      </c>
      <c r="P211" s="56">
        <f>E211+I211</f>
        <v>879402954</v>
      </c>
      <c r="Q211" s="51">
        <f>F211+J211</f>
        <v>-76187331</v>
      </c>
      <c r="R211" s="55">
        <f>H211+O211</f>
        <v>803215623</v>
      </c>
    </row>
    <row r="212" spans="1:18" s="5" customFormat="1" ht="25.5" x14ac:dyDescent="0.2">
      <c r="A212" s="11" t="s">
        <v>337</v>
      </c>
      <c r="B212" s="48"/>
      <c r="C212" s="48"/>
      <c r="D212" s="49" t="s">
        <v>24</v>
      </c>
      <c r="E212" s="50"/>
      <c r="F212" s="51"/>
      <c r="G212" s="51"/>
      <c r="H212" s="52"/>
      <c r="I212" s="53"/>
      <c r="J212" s="54"/>
      <c r="K212" s="51"/>
      <c r="L212" s="51"/>
      <c r="M212" s="51"/>
      <c r="N212" s="51"/>
      <c r="O212" s="55"/>
      <c r="P212" s="85"/>
      <c r="Q212" s="74"/>
      <c r="R212" s="75"/>
    </row>
    <row r="213" spans="1:18" s="9" customFormat="1" ht="24.75" customHeight="1" x14ac:dyDescent="0.2">
      <c r="A213" s="7" t="s">
        <v>338</v>
      </c>
      <c r="B213" s="59" t="s">
        <v>121</v>
      </c>
      <c r="C213" s="59" t="s">
        <v>66</v>
      </c>
      <c r="D213" s="60" t="s">
        <v>25</v>
      </c>
      <c r="E213" s="61">
        <v>1956000</v>
      </c>
      <c r="F213" s="62">
        <f>G213</f>
        <v>135000</v>
      </c>
      <c r="G213" s="62">
        <f>50000+5000+25000+45000+10000</f>
        <v>135000</v>
      </c>
      <c r="H213" s="63">
        <f>E213+F213</f>
        <v>2091000</v>
      </c>
      <c r="I213" s="64">
        <v>20000</v>
      </c>
      <c r="J213" s="61">
        <f t="shared" ref="J213:J234" si="59">K213+L213</f>
        <v>0</v>
      </c>
      <c r="K213" s="62"/>
      <c r="L213" s="62"/>
      <c r="M213" s="62"/>
      <c r="N213" s="62"/>
      <c r="O213" s="63">
        <f>I213+J213</f>
        <v>20000</v>
      </c>
      <c r="P213" s="65">
        <f t="shared" si="51"/>
        <v>1976000</v>
      </c>
      <c r="Q213" s="62">
        <f t="shared" si="52"/>
        <v>135000</v>
      </c>
      <c r="R213" s="63">
        <f t="shared" si="53"/>
        <v>2111000</v>
      </c>
    </row>
    <row r="214" spans="1:18" s="9" customFormat="1" ht="24" customHeight="1" x14ac:dyDescent="0.2">
      <c r="A214" s="10" t="s">
        <v>349</v>
      </c>
      <c r="B214" s="59" t="s">
        <v>49</v>
      </c>
      <c r="C214" s="59" t="s">
        <v>53</v>
      </c>
      <c r="D214" s="60" t="s">
        <v>262</v>
      </c>
      <c r="E214" s="61">
        <v>0</v>
      </c>
      <c r="F214" s="62">
        <f t="shared" ref="F214:F233" si="60">G214</f>
        <v>0</v>
      </c>
      <c r="G214" s="62"/>
      <c r="H214" s="63">
        <f t="shared" ref="H214:H233" si="61">E214+F214</f>
        <v>0</v>
      </c>
      <c r="I214" s="64">
        <v>5200000</v>
      </c>
      <c r="J214" s="61">
        <f t="shared" si="59"/>
        <v>0</v>
      </c>
      <c r="K214" s="62"/>
      <c r="L214" s="62"/>
      <c r="M214" s="62"/>
      <c r="N214" s="62"/>
      <c r="O214" s="63">
        <f t="shared" ref="O214:O234" si="62">I214+J214</f>
        <v>5200000</v>
      </c>
      <c r="P214" s="65">
        <f t="shared" si="51"/>
        <v>5200000</v>
      </c>
      <c r="Q214" s="62">
        <f t="shared" si="52"/>
        <v>0</v>
      </c>
      <c r="R214" s="63">
        <f t="shared" si="53"/>
        <v>5200000</v>
      </c>
    </row>
    <row r="215" spans="1:18" s="9" customFormat="1" ht="12" x14ac:dyDescent="0.2">
      <c r="A215" s="10" t="s">
        <v>360</v>
      </c>
      <c r="B215" s="59" t="s">
        <v>103</v>
      </c>
      <c r="C215" s="59" t="s">
        <v>84</v>
      </c>
      <c r="D215" s="60" t="s">
        <v>145</v>
      </c>
      <c r="E215" s="61">
        <v>0</v>
      </c>
      <c r="F215" s="62">
        <f t="shared" si="60"/>
        <v>0</v>
      </c>
      <c r="G215" s="62"/>
      <c r="H215" s="63">
        <f t="shared" si="61"/>
        <v>0</v>
      </c>
      <c r="I215" s="64">
        <v>4263506</v>
      </c>
      <c r="J215" s="61">
        <f t="shared" si="59"/>
        <v>265000</v>
      </c>
      <c r="K215" s="62"/>
      <c r="L215" s="62">
        <f>252318+12682</f>
        <v>265000</v>
      </c>
      <c r="M215" s="62">
        <f>252318+12682</f>
        <v>265000</v>
      </c>
      <c r="N215" s="62">
        <f>252318</f>
        <v>252318</v>
      </c>
      <c r="O215" s="63">
        <f t="shared" si="62"/>
        <v>4528506</v>
      </c>
      <c r="P215" s="65">
        <f t="shared" si="51"/>
        <v>4263506</v>
      </c>
      <c r="Q215" s="62">
        <f t="shared" si="52"/>
        <v>265000</v>
      </c>
      <c r="R215" s="63">
        <f t="shared" si="53"/>
        <v>4528506</v>
      </c>
    </row>
    <row r="216" spans="1:18" s="9" customFormat="1" ht="54.75" customHeight="1" x14ac:dyDescent="0.2">
      <c r="A216" s="10" t="s">
        <v>361</v>
      </c>
      <c r="B216" s="59" t="s">
        <v>104</v>
      </c>
      <c r="C216" s="59" t="s">
        <v>85</v>
      </c>
      <c r="D216" s="60" t="s">
        <v>362</v>
      </c>
      <c r="E216" s="61">
        <v>0</v>
      </c>
      <c r="F216" s="62">
        <f t="shared" si="60"/>
        <v>0</v>
      </c>
      <c r="G216" s="62"/>
      <c r="H216" s="63">
        <f t="shared" si="61"/>
        <v>0</v>
      </c>
      <c r="I216" s="64">
        <v>12220000</v>
      </c>
      <c r="J216" s="61">
        <f t="shared" si="59"/>
        <v>-385000</v>
      </c>
      <c r="K216" s="62"/>
      <c r="L216" s="62">
        <f>-5982034+5597034</f>
        <v>-385000</v>
      </c>
      <c r="M216" s="62">
        <f>-5982034+5597034</f>
        <v>-385000</v>
      </c>
      <c r="N216" s="62">
        <f>-5982034</f>
        <v>-5982034</v>
      </c>
      <c r="O216" s="63">
        <f t="shared" si="62"/>
        <v>11835000</v>
      </c>
      <c r="P216" s="65">
        <f t="shared" si="51"/>
        <v>12220000</v>
      </c>
      <c r="Q216" s="62">
        <f t="shared" si="52"/>
        <v>-385000</v>
      </c>
      <c r="R216" s="63">
        <f t="shared" si="53"/>
        <v>11835000</v>
      </c>
    </row>
    <row r="217" spans="1:18" s="9" customFormat="1" ht="64.5" customHeight="1" x14ac:dyDescent="0.2">
      <c r="A217" s="8" t="s">
        <v>535</v>
      </c>
      <c r="B217" s="59" t="s">
        <v>74</v>
      </c>
      <c r="C217" s="59" t="s">
        <v>86</v>
      </c>
      <c r="D217" s="60" t="s">
        <v>536</v>
      </c>
      <c r="E217" s="61"/>
      <c r="F217" s="62"/>
      <c r="G217" s="62"/>
      <c r="H217" s="63"/>
      <c r="I217" s="64">
        <v>81900</v>
      </c>
      <c r="J217" s="61">
        <f t="shared" si="59"/>
        <v>260000</v>
      </c>
      <c r="K217" s="62"/>
      <c r="L217" s="62">
        <f>260000</f>
        <v>260000</v>
      </c>
      <c r="M217" s="62">
        <f>260000</f>
        <v>260000</v>
      </c>
      <c r="N217" s="62">
        <f>260000</f>
        <v>260000</v>
      </c>
      <c r="O217" s="63">
        <f t="shared" si="62"/>
        <v>341900</v>
      </c>
      <c r="P217" s="65">
        <f t="shared" si="51"/>
        <v>81900</v>
      </c>
      <c r="Q217" s="62">
        <f t="shared" si="52"/>
        <v>260000</v>
      </c>
      <c r="R217" s="63">
        <f t="shared" si="53"/>
        <v>341900</v>
      </c>
    </row>
    <row r="218" spans="1:18" s="9" customFormat="1" ht="24" x14ac:dyDescent="0.2">
      <c r="A218" s="22" t="s">
        <v>363</v>
      </c>
      <c r="B218" s="101" t="s">
        <v>364</v>
      </c>
      <c r="C218" s="101" t="s">
        <v>60</v>
      </c>
      <c r="D218" s="110" t="s">
        <v>36</v>
      </c>
      <c r="E218" s="61">
        <v>0</v>
      </c>
      <c r="F218" s="62">
        <f t="shared" si="60"/>
        <v>0</v>
      </c>
      <c r="G218" s="62"/>
      <c r="H218" s="63">
        <f t="shared" si="61"/>
        <v>0</v>
      </c>
      <c r="I218" s="64">
        <v>4250000</v>
      </c>
      <c r="J218" s="61">
        <f t="shared" si="59"/>
        <v>0</v>
      </c>
      <c r="K218" s="62"/>
      <c r="L218" s="62">
        <f>-120303+120303</f>
        <v>0</v>
      </c>
      <c r="M218" s="62">
        <f>-120303+120303</f>
        <v>0</v>
      </c>
      <c r="N218" s="62">
        <f>-120303</f>
        <v>-120303</v>
      </c>
      <c r="O218" s="63">
        <f t="shared" si="62"/>
        <v>4250000</v>
      </c>
      <c r="P218" s="65">
        <f t="shared" si="51"/>
        <v>4250000</v>
      </c>
      <c r="Q218" s="62">
        <f t="shared" si="52"/>
        <v>0</v>
      </c>
      <c r="R218" s="63">
        <f t="shared" si="53"/>
        <v>4250000</v>
      </c>
    </row>
    <row r="219" spans="1:18" s="9" customFormat="1" ht="24" x14ac:dyDescent="0.2">
      <c r="A219" s="22" t="s">
        <v>365</v>
      </c>
      <c r="B219" s="101" t="s">
        <v>157</v>
      </c>
      <c r="C219" s="101" t="s">
        <v>61</v>
      </c>
      <c r="D219" s="110" t="s">
        <v>366</v>
      </c>
      <c r="E219" s="61">
        <v>0</v>
      </c>
      <c r="F219" s="62">
        <f t="shared" si="60"/>
        <v>0</v>
      </c>
      <c r="G219" s="62"/>
      <c r="H219" s="63">
        <f t="shared" si="61"/>
        <v>0</v>
      </c>
      <c r="I219" s="64">
        <v>9725000</v>
      </c>
      <c r="J219" s="61">
        <f t="shared" si="59"/>
        <v>0</v>
      </c>
      <c r="K219" s="62"/>
      <c r="L219" s="62">
        <f>-1074551+1074551</f>
        <v>0</v>
      </c>
      <c r="M219" s="62">
        <f>-1074551+1074551</f>
        <v>0</v>
      </c>
      <c r="N219" s="62">
        <f>-1074551</f>
        <v>-1074551</v>
      </c>
      <c r="O219" s="63">
        <f t="shared" si="62"/>
        <v>9725000</v>
      </c>
      <c r="P219" s="65">
        <f t="shared" si="51"/>
        <v>9725000</v>
      </c>
      <c r="Q219" s="62">
        <f t="shared" si="52"/>
        <v>0</v>
      </c>
      <c r="R219" s="63">
        <f t="shared" si="53"/>
        <v>9725000</v>
      </c>
    </row>
    <row r="220" spans="1:18" s="9" customFormat="1" ht="24" x14ac:dyDescent="0.2">
      <c r="A220" s="22" t="s">
        <v>367</v>
      </c>
      <c r="B220" s="101" t="s">
        <v>158</v>
      </c>
      <c r="C220" s="101" t="s">
        <v>62</v>
      </c>
      <c r="D220" s="110" t="s">
        <v>422</v>
      </c>
      <c r="E220" s="61">
        <v>0</v>
      </c>
      <c r="F220" s="62">
        <f t="shared" si="60"/>
        <v>0</v>
      </c>
      <c r="G220" s="62"/>
      <c r="H220" s="63">
        <f t="shared" si="61"/>
        <v>0</v>
      </c>
      <c r="I220" s="64">
        <v>1500000</v>
      </c>
      <c r="J220" s="61">
        <f t="shared" si="59"/>
        <v>0</v>
      </c>
      <c r="K220" s="62"/>
      <c r="L220" s="62"/>
      <c r="M220" s="62"/>
      <c r="N220" s="62"/>
      <c r="O220" s="63">
        <f t="shared" si="62"/>
        <v>1500000</v>
      </c>
      <c r="P220" s="65">
        <f t="shared" si="51"/>
        <v>1500000</v>
      </c>
      <c r="Q220" s="62">
        <f t="shared" si="52"/>
        <v>0</v>
      </c>
      <c r="R220" s="63">
        <f t="shared" si="53"/>
        <v>1500000</v>
      </c>
    </row>
    <row r="221" spans="1:18" s="9" customFormat="1" ht="24" x14ac:dyDescent="0.2">
      <c r="A221" s="23">
        <v>1514060</v>
      </c>
      <c r="B221" s="59" t="s">
        <v>96</v>
      </c>
      <c r="C221" s="59" t="s">
        <v>98</v>
      </c>
      <c r="D221" s="66" t="s">
        <v>368</v>
      </c>
      <c r="E221" s="61">
        <v>0</v>
      </c>
      <c r="F221" s="62">
        <f t="shared" si="60"/>
        <v>0</v>
      </c>
      <c r="G221" s="62"/>
      <c r="H221" s="63">
        <f t="shared" si="61"/>
        <v>0</v>
      </c>
      <c r="I221" s="64">
        <v>8850200</v>
      </c>
      <c r="J221" s="61">
        <f t="shared" si="59"/>
        <v>-3600000</v>
      </c>
      <c r="K221" s="62"/>
      <c r="L221" s="62">
        <f>-3600000</f>
        <v>-3600000</v>
      </c>
      <c r="M221" s="62">
        <f>-3600000</f>
        <v>-3600000</v>
      </c>
      <c r="N221" s="62">
        <f>-3600000</f>
        <v>-3600000</v>
      </c>
      <c r="O221" s="63">
        <f t="shared" si="62"/>
        <v>5250200</v>
      </c>
      <c r="P221" s="65">
        <f t="shared" si="51"/>
        <v>8850200</v>
      </c>
      <c r="Q221" s="62">
        <f t="shared" si="52"/>
        <v>-3600000</v>
      </c>
      <c r="R221" s="63">
        <f t="shared" si="53"/>
        <v>5250200</v>
      </c>
    </row>
    <row r="222" spans="1:18" s="9" customFormat="1" ht="12" x14ac:dyDescent="0.2">
      <c r="A222" s="23">
        <v>1515041</v>
      </c>
      <c r="B222" s="59" t="s">
        <v>391</v>
      </c>
      <c r="C222" s="59" t="s">
        <v>91</v>
      </c>
      <c r="D222" s="60" t="s">
        <v>390</v>
      </c>
      <c r="E222" s="61"/>
      <c r="F222" s="62"/>
      <c r="G222" s="62"/>
      <c r="H222" s="63"/>
      <c r="I222" s="64">
        <v>400000</v>
      </c>
      <c r="J222" s="61">
        <f t="shared" si="59"/>
        <v>300000</v>
      </c>
      <c r="K222" s="62"/>
      <c r="L222" s="62">
        <f>300000</f>
        <v>300000</v>
      </c>
      <c r="M222" s="62">
        <f>300000</f>
        <v>300000</v>
      </c>
      <c r="N222" s="62">
        <f>300000</f>
        <v>300000</v>
      </c>
      <c r="O222" s="63">
        <f t="shared" si="62"/>
        <v>700000</v>
      </c>
      <c r="P222" s="65">
        <f t="shared" si="51"/>
        <v>400000</v>
      </c>
      <c r="Q222" s="62">
        <f t="shared" si="52"/>
        <v>300000</v>
      </c>
      <c r="R222" s="63">
        <f t="shared" si="53"/>
        <v>700000</v>
      </c>
    </row>
    <row r="223" spans="1:18" s="9" customFormat="1" ht="16.5" customHeight="1" x14ac:dyDescent="0.2">
      <c r="A223" s="10" t="s">
        <v>369</v>
      </c>
      <c r="B223" s="59" t="s">
        <v>163</v>
      </c>
      <c r="C223" s="59" t="s">
        <v>76</v>
      </c>
      <c r="D223" s="66" t="s">
        <v>164</v>
      </c>
      <c r="E223" s="61">
        <v>0</v>
      </c>
      <c r="F223" s="62">
        <f t="shared" si="60"/>
        <v>0</v>
      </c>
      <c r="G223" s="62"/>
      <c r="H223" s="63">
        <f t="shared" si="61"/>
        <v>0</v>
      </c>
      <c r="I223" s="64">
        <v>108724353</v>
      </c>
      <c r="J223" s="61">
        <f t="shared" si="59"/>
        <v>37732339</v>
      </c>
      <c r="K223" s="62"/>
      <c r="L223" s="62">
        <f>-8352655+46084994</f>
        <v>37732339</v>
      </c>
      <c r="M223" s="62">
        <f>-8352655+46084994</f>
        <v>37732339</v>
      </c>
      <c r="N223" s="62">
        <f>-8352655</f>
        <v>-8352655</v>
      </c>
      <c r="O223" s="63">
        <f t="shared" si="62"/>
        <v>146456692</v>
      </c>
      <c r="P223" s="65">
        <f t="shared" si="51"/>
        <v>108724353</v>
      </c>
      <c r="Q223" s="62">
        <f t="shared" si="52"/>
        <v>37732339</v>
      </c>
      <c r="R223" s="63">
        <f t="shared" si="53"/>
        <v>146456692</v>
      </c>
    </row>
    <row r="224" spans="1:18" s="9" customFormat="1" ht="24" x14ac:dyDescent="0.2">
      <c r="A224" s="10" t="s">
        <v>370</v>
      </c>
      <c r="B224" s="59" t="s">
        <v>358</v>
      </c>
      <c r="C224" s="59" t="s">
        <v>318</v>
      </c>
      <c r="D224" s="60" t="s">
        <v>359</v>
      </c>
      <c r="E224" s="61">
        <v>0</v>
      </c>
      <c r="F224" s="62">
        <f t="shared" si="60"/>
        <v>0</v>
      </c>
      <c r="G224" s="62"/>
      <c r="H224" s="63">
        <f t="shared" si="61"/>
        <v>0</v>
      </c>
      <c r="I224" s="64">
        <v>224264900</v>
      </c>
      <c r="J224" s="61">
        <f t="shared" si="59"/>
        <v>53309900</v>
      </c>
      <c r="K224" s="62"/>
      <c r="L224" s="62">
        <f>-42334158+95644058</f>
        <v>53309900</v>
      </c>
      <c r="M224" s="62">
        <f>-42334158+95644058</f>
        <v>53309900</v>
      </c>
      <c r="N224" s="62">
        <f>-42334158</f>
        <v>-42334158</v>
      </c>
      <c r="O224" s="63">
        <f t="shared" si="62"/>
        <v>277574800</v>
      </c>
      <c r="P224" s="65">
        <f t="shared" si="51"/>
        <v>224264900</v>
      </c>
      <c r="Q224" s="62">
        <f t="shared" si="52"/>
        <v>53309900</v>
      </c>
      <c r="R224" s="63">
        <f t="shared" si="53"/>
        <v>277574800</v>
      </c>
    </row>
    <row r="225" spans="1:18" s="9" customFormat="1" ht="16.5" customHeight="1" x14ac:dyDescent="0.2">
      <c r="A225" s="10" t="s">
        <v>371</v>
      </c>
      <c r="B225" s="59" t="s">
        <v>372</v>
      </c>
      <c r="C225" s="59" t="s">
        <v>318</v>
      </c>
      <c r="D225" s="60" t="s">
        <v>373</v>
      </c>
      <c r="E225" s="61">
        <v>0</v>
      </c>
      <c r="F225" s="62">
        <f t="shared" si="60"/>
        <v>0</v>
      </c>
      <c r="G225" s="62"/>
      <c r="H225" s="63">
        <f t="shared" si="61"/>
        <v>0</v>
      </c>
      <c r="I225" s="64">
        <v>48201163</v>
      </c>
      <c r="J225" s="61">
        <f t="shared" si="59"/>
        <v>-1013548</v>
      </c>
      <c r="K225" s="62"/>
      <c r="L225" s="62">
        <f>-12291069+11277521</f>
        <v>-1013548</v>
      </c>
      <c r="M225" s="62">
        <f>-12291069+11277521</f>
        <v>-1013548</v>
      </c>
      <c r="N225" s="62">
        <f>-12291069</f>
        <v>-12291069</v>
      </c>
      <c r="O225" s="63">
        <f>I225+J225</f>
        <v>47187615</v>
      </c>
      <c r="P225" s="65">
        <f t="shared" si="51"/>
        <v>48201163</v>
      </c>
      <c r="Q225" s="62">
        <f t="shared" si="52"/>
        <v>-1013548</v>
      </c>
      <c r="R225" s="63">
        <f t="shared" si="53"/>
        <v>47187615</v>
      </c>
    </row>
    <row r="226" spans="1:18" s="9" customFormat="1" ht="16.5" customHeight="1" x14ac:dyDescent="0.2">
      <c r="A226" s="10" t="s">
        <v>512</v>
      </c>
      <c r="B226" s="59" t="s">
        <v>511</v>
      </c>
      <c r="C226" s="59" t="s">
        <v>318</v>
      </c>
      <c r="D226" s="60" t="s">
        <v>513</v>
      </c>
      <c r="E226" s="61"/>
      <c r="F226" s="62"/>
      <c r="G226" s="62"/>
      <c r="H226" s="63"/>
      <c r="I226" s="64">
        <v>0</v>
      </c>
      <c r="J226" s="61">
        <f t="shared" si="59"/>
        <v>0</v>
      </c>
      <c r="K226" s="62"/>
      <c r="L226" s="62"/>
      <c r="M226" s="62"/>
      <c r="N226" s="62"/>
      <c r="O226" s="63">
        <f t="shared" si="62"/>
        <v>0</v>
      </c>
      <c r="P226" s="65">
        <f>E226+I226</f>
        <v>0</v>
      </c>
      <c r="Q226" s="62">
        <f>F226+J226</f>
        <v>0</v>
      </c>
      <c r="R226" s="63">
        <f>H226+O226</f>
        <v>0</v>
      </c>
    </row>
    <row r="227" spans="1:18" s="9" customFormat="1" ht="16.5" customHeight="1" x14ac:dyDescent="0.2">
      <c r="A227" s="10" t="s">
        <v>374</v>
      </c>
      <c r="B227" s="59" t="s">
        <v>375</v>
      </c>
      <c r="C227" s="59" t="s">
        <v>318</v>
      </c>
      <c r="D227" s="60" t="s">
        <v>376</v>
      </c>
      <c r="E227" s="61">
        <v>0</v>
      </c>
      <c r="F227" s="62">
        <f t="shared" si="60"/>
        <v>0</v>
      </c>
      <c r="G227" s="62"/>
      <c r="H227" s="63">
        <f t="shared" si="61"/>
        <v>0</v>
      </c>
      <c r="I227" s="64">
        <v>5000000</v>
      </c>
      <c r="J227" s="61">
        <f t="shared" si="59"/>
        <v>3000000</v>
      </c>
      <c r="K227" s="62"/>
      <c r="L227" s="62">
        <f>3000000</f>
        <v>3000000</v>
      </c>
      <c r="M227" s="62">
        <f>3000000</f>
        <v>3000000</v>
      </c>
      <c r="N227" s="62"/>
      <c r="O227" s="63">
        <f t="shared" si="62"/>
        <v>8000000</v>
      </c>
      <c r="P227" s="65">
        <f t="shared" si="51"/>
        <v>5000000</v>
      </c>
      <c r="Q227" s="62">
        <f t="shared" si="52"/>
        <v>3000000</v>
      </c>
      <c r="R227" s="63">
        <f t="shared" si="53"/>
        <v>8000000</v>
      </c>
    </row>
    <row r="228" spans="1:18" s="9" customFormat="1" ht="26.25" customHeight="1" x14ac:dyDescent="0.2">
      <c r="A228" s="10" t="s">
        <v>377</v>
      </c>
      <c r="B228" s="59" t="s">
        <v>378</v>
      </c>
      <c r="C228" s="59" t="s">
        <v>318</v>
      </c>
      <c r="D228" s="60" t="s">
        <v>379</v>
      </c>
      <c r="E228" s="61">
        <v>0</v>
      </c>
      <c r="F228" s="62">
        <f t="shared" si="60"/>
        <v>0</v>
      </c>
      <c r="G228" s="62"/>
      <c r="H228" s="63">
        <f t="shared" si="61"/>
        <v>0</v>
      </c>
      <c r="I228" s="64">
        <v>1196590</v>
      </c>
      <c r="J228" s="61">
        <f t="shared" si="59"/>
        <v>-208482</v>
      </c>
      <c r="K228" s="62"/>
      <c r="L228" s="62">
        <f>-208482</f>
        <v>-208482</v>
      </c>
      <c r="M228" s="62">
        <f>-208482</f>
        <v>-208482</v>
      </c>
      <c r="N228" s="62">
        <f>-208482</f>
        <v>-208482</v>
      </c>
      <c r="O228" s="63">
        <f t="shared" si="62"/>
        <v>988108</v>
      </c>
      <c r="P228" s="65">
        <f t="shared" si="51"/>
        <v>1196590</v>
      </c>
      <c r="Q228" s="62">
        <f t="shared" si="52"/>
        <v>-208482</v>
      </c>
      <c r="R228" s="63">
        <f t="shared" si="53"/>
        <v>988108</v>
      </c>
    </row>
    <row r="229" spans="1:18" s="9" customFormat="1" ht="25.15" customHeight="1" x14ac:dyDescent="0.2">
      <c r="A229" s="10" t="s">
        <v>380</v>
      </c>
      <c r="B229" s="59" t="s">
        <v>381</v>
      </c>
      <c r="C229" s="59" t="s">
        <v>318</v>
      </c>
      <c r="D229" s="60" t="s">
        <v>382</v>
      </c>
      <c r="E229" s="61">
        <v>0</v>
      </c>
      <c r="F229" s="62">
        <f t="shared" si="60"/>
        <v>0</v>
      </c>
      <c r="G229" s="62"/>
      <c r="H229" s="63">
        <f t="shared" si="61"/>
        <v>0</v>
      </c>
      <c r="I229" s="64">
        <v>425240000</v>
      </c>
      <c r="J229" s="61">
        <f t="shared" si="59"/>
        <v>-164243380</v>
      </c>
      <c r="K229" s="62"/>
      <c r="L229" s="62">
        <f>6536900-170780280</f>
        <v>-164243380</v>
      </c>
      <c r="M229" s="62">
        <f>6536900-170780280</f>
        <v>-164243380</v>
      </c>
      <c r="N229" s="62">
        <f>6536900</f>
        <v>6536900</v>
      </c>
      <c r="O229" s="63">
        <f t="shared" si="62"/>
        <v>260996620</v>
      </c>
      <c r="P229" s="65">
        <f t="shared" si="51"/>
        <v>425240000</v>
      </c>
      <c r="Q229" s="62">
        <f t="shared" si="52"/>
        <v>-164243380</v>
      </c>
      <c r="R229" s="63">
        <f t="shared" si="53"/>
        <v>260996620</v>
      </c>
    </row>
    <row r="230" spans="1:18" s="9" customFormat="1" ht="30" customHeight="1" x14ac:dyDescent="0.2">
      <c r="A230" s="10" t="s">
        <v>383</v>
      </c>
      <c r="B230" s="59" t="s">
        <v>346</v>
      </c>
      <c r="C230" s="59" t="s">
        <v>318</v>
      </c>
      <c r="D230" s="60" t="s">
        <v>384</v>
      </c>
      <c r="E230" s="61">
        <v>0</v>
      </c>
      <c r="F230" s="62">
        <f t="shared" si="60"/>
        <v>0</v>
      </c>
      <c r="G230" s="62"/>
      <c r="H230" s="63">
        <f t="shared" si="61"/>
        <v>0</v>
      </c>
      <c r="I230" s="64">
        <v>6758220</v>
      </c>
      <c r="J230" s="61">
        <f t="shared" si="59"/>
        <v>-1782000</v>
      </c>
      <c r="K230" s="62"/>
      <c r="L230" s="62">
        <f>-1864237+82237</f>
        <v>-1782000</v>
      </c>
      <c r="M230" s="62">
        <f>-1864237+82237</f>
        <v>-1782000</v>
      </c>
      <c r="N230" s="62">
        <f>-1864237</f>
        <v>-1864237</v>
      </c>
      <c r="O230" s="63">
        <f t="shared" si="62"/>
        <v>4976220</v>
      </c>
      <c r="P230" s="65">
        <f t="shared" si="51"/>
        <v>6758220</v>
      </c>
      <c r="Q230" s="62">
        <f t="shared" si="52"/>
        <v>-1782000</v>
      </c>
      <c r="R230" s="63">
        <f t="shared" si="53"/>
        <v>4976220</v>
      </c>
    </row>
    <row r="231" spans="1:18" s="9" customFormat="1" ht="36" x14ac:dyDescent="0.2">
      <c r="A231" s="22" t="s">
        <v>503</v>
      </c>
      <c r="B231" s="101" t="s">
        <v>501</v>
      </c>
      <c r="C231" s="101" t="s">
        <v>77</v>
      </c>
      <c r="D231" s="102" t="s">
        <v>502</v>
      </c>
      <c r="E231" s="61"/>
      <c r="F231" s="62"/>
      <c r="G231" s="62"/>
      <c r="H231" s="63"/>
      <c r="I231" s="64">
        <v>5569735</v>
      </c>
      <c r="J231" s="61">
        <f t="shared" si="59"/>
        <v>-500000</v>
      </c>
      <c r="K231" s="62"/>
      <c r="L231" s="62">
        <f>-500000</f>
        <v>-500000</v>
      </c>
      <c r="M231" s="62">
        <f>-500000</f>
        <v>-500000</v>
      </c>
      <c r="N231" s="62">
        <f>-500000</f>
        <v>-500000</v>
      </c>
      <c r="O231" s="63">
        <f t="shared" si="62"/>
        <v>5069735</v>
      </c>
      <c r="P231" s="65">
        <f t="shared" si="51"/>
        <v>5569735</v>
      </c>
      <c r="Q231" s="62">
        <f t="shared" si="52"/>
        <v>-500000</v>
      </c>
      <c r="R231" s="63">
        <f t="shared" si="53"/>
        <v>5069735</v>
      </c>
    </row>
    <row r="232" spans="1:18" s="9" customFormat="1" ht="24" x14ac:dyDescent="0.2">
      <c r="A232" s="10" t="s">
        <v>507</v>
      </c>
      <c r="B232" s="59" t="s">
        <v>446</v>
      </c>
      <c r="C232" s="59" t="s">
        <v>77</v>
      </c>
      <c r="D232" s="60" t="s">
        <v>166</v>
      </c>
      <c r="E232" s="61"/>
      <c r="F232" s="62"/>
      <c r="G232" s="62"/>
      <c r="H232" s="63"/>
      <c r="I232" s="64">
        <v>4845780</v>
      </c>
      <c r="J232" s="61">
        <f t="shared" si="59"/>
        <v>542840</v>
      </c>
      <c r="K232" s="62"/>
      <c r="L232" s="62">
        <f>342840+200000</f>
        <v>542840</v>
      </c>
      <c r="M232" s="62">
        <f>342840+200000</f>
        <v>542840</v>
      </c>
      <c r="N232" s="62">
        <f>342840</f>
        <v>342840</v>
      </c>
      <c r="O232" s="63">
        <f t="shared" si="62"/>
        <v>5388620</v>
      </c>
      <c r="P232" s="65">
        <f t="shared" si="51"/>
        <v>4845780</v>
      </c>
      <c r="Q232" s="62">
        <f t="shared" si="52"/>
        <v>542840</v>
      </c>
      <c r="R232" s="63">
        <f t="shared" si="53"/>
        <v>5388620</v>
      </c>
    </row>
    <row r="233" spans="1:18" s="9" customFormat="1" ht="27.75" customHeight="1" x14ac:dyDescent="0.2">
      <c r="A233" s="7" t="s">
        <v>339</v>
      </c>
      <c r="B233" s="59" t="s">
        <v>165</v>
      </c>
      <c r="C233" s="59" t="s">
        <v>58</v>
      </c>
      <c r="D233" s="60" t="s">
        <v>23</v>
      </c>
      <c r="E233" s="61">
        <v>0</v>
      </c>
      <c r="F233" s="62">
        <f t="shared" si="60"/>
        <v>0</v>
      </c>
      <c r="G233" s="62"/>
      <c r="H233" s="63">
        <f t="shared" si="61"/>
        <v>0</v>
      </c>
      <c r="I233" s="64">
        <v>5000</v>
      </c>
      <c r="J233" s="61">
        <f t="shared" si="59"/>
        <v>0</v>
      </c>
      <c r="K233" s="62"/>
      <c r="L233" s="62"/>
      <c r="M233" s="62"/>
      <c r="N233" s="62"/>
      <c r="O233" s="63">
        <f t="shared" si="62"/>
        <v>5000</v>
      </c>
      <c r="P233" s="65">
        <f t="shared" si="51"/>
        <v>5000</v>
      </c>
      <c r="Q233" s="62">
        <f t="shared" si="52"/>
        <v>0</v>
      </c>
      <c r="R233" s="63">
        <f t="shared" si="53"/>
        <v>5000</v>
      </c>
    </row>
    <row r="234" spans="1:18" s="9" customFormat="1" ht="18" customHeight="1" x14ac:dyDescent="0.2">
      <c r="A234" s="10" t="s">
        <v>496</v>
      </c>
      <c r="B234" s="59" t="s">
        <v>497</v>
      </c>
      <c r="C234" s="59" t="s">
        <v>499</v>
      </c>
      <c r="D234" s="60" t="s">
        <v>498</v>
      </c>
      <c r="E234" s="61"/>
      <c r="F234" s="62"/>
      <c r="G234" s="62"/>
      <c r="H234" s="63"/>
      <c r="I234" s="64">
        <v>1130607</v>
      </c>
      <c r="J234" s="61">
        <f t="shared" si="59"/>
        <v>0</v>
      </c>
      <c r="K234" s="62"/>
      <c r="L234" s="62"/>
      <c r="M234" s="62"/>
      <c r="N234" s="62"/>
      <c r="O234" s="63">
        <f t="shared" si="62"/>
        <v>1130607</v>
      </c>
      <c r="P234" s="65">
        <f>E234+I234</f>
        <v>1130607</v>
      </c>
      <c r="Q234" s="62">
        <f>F234+J234</f>
        <v>0</v>
      </c>
      <c r="R234" s="63">
        <f>H234+O234</f>
        <v>1130607</v>
      </c>
    </row>
    <row r="235" spans="1:18" s="5" customFormat="1" ht="41.25" customHeight="1" x14ac:dyDescent="0.2">
      <c r="A235" s="11" t="s">
        <v>320</v>
      </c>
      <c r="B235" s="48"/>
      <c r="C235" s="48"/>
      <c r="D235" s="72" t="s">
        <v>72</v>
      </c>
      <c r="E235" s="50">
        <v>6853417</v>
      </c>
      <c r="F235" s="51">
        <f>F237+F238+F243+F244+F242</f>
        <v>49800</v>
      </c>
      <c r="G235" s="51">
        <f>G237+G238+G243+G244+G242</f>
        <v>49800</v>
      </c>
      <c r="H235" s="55">
        <f>H237+H243+H244+H238+H242</f>
        <v>6903217</v>
      </c>
      <c r="I235" s="73">
        <v>9454540</v>
      </c>
      <c r="J235" s="50">
        <f t="shared" ref="J235:O235" si="63">SUM(J237:J244)</f>
        <v>1115500</v>
      </c>
      <c r="K235" s="51">
        <f t="shared" si="63"/>
        <v>0</v>
      </c>
      <c r="L235" s="51">
        <f t="shared" si="63"/>
        <v>1115500</v>
      </c>
      <c r="M235" s="51">
        <f t="shared" si="63"/>
        <v>1115500</v>
      </c>
      <c r="N235" s="51">
        <f t="shared" si="63"/>
        <v>1078600</v>
      </c>
      <c r="O235" s="55">
        <f t="shared" si="63"/>
        <v>10570040</v>
      </c>
      <c r="P235" s="56">
        <f>E235+I235</f>
        <v>16307957</v>
      </c>
      <c r="Q235" s="51">
        <f>F235+J235</f>
        <v>1165300</v>
      </c>
      <c r="R235" s="55">
        <f t="shared" si="53"/>
        <v>17473257</v>
      </c>
    </row>
    <row r="236" spans="1:18" s="5" customFormat="1" ht="44.25" customHeight="1" x14ac:dyDescent="0.2">
      <c r="A236" s="11" t="s">
        <v>321</v>
      </c>
      <c r="B236" s="48"/>
      <c r="C236" s="48"/>
      <c r="D236" s="72" t="s">
        <v>72</v>
      </c>
      <c r="E236" s="50"/>
      <c r="F236" s="51"/>
      <c r="G236" s="51"/>
      <c r="H236" s="52"/>
      <c r="I236" s="53"/>
      <c r="J236" s="54"/>
      <c r="K236" s="51"/>
      <c r="L236" s="51"/>
      <c r="M236" s="51"/>
      <c r="N236" s="51"/>
      <c r="O236" s="55"/>
      <c r="P236" s="85"/>
      <c r="Q236" s="74"/>
      <c r="R236" s="75"/>
    </row>
    <row r="237" spans="1:18" s="9" customFormat="1" ht="27" customHeight="1" x14ac:dyDescent="0.2">
      <c r="A237" s="7" t="s">
        <v>322</v>
      </c>
      <c r="B237" s="59" t="s">
        <v>121</v>
      </c>
      <c r="C237" s="59" t="s">
        <v>66</v>
      </c>
      <c r="D237" s="60" t="s">
        <v>40</v>
      </c>
      <c r="E237" s="61">
        <v>4633200</v>
      </c>
      <c r="F237" s="62">
        <f>G237</f>
        <v>107900</v>
      </c>
      <c r="G237" s="62">
        <f>10000+82900+15000</f>
        <v>107900</v>
      </c>
      <c r="H237" s="63">
        <f>E237+F237</f>
        <v>4741100</v>
      </c>
      <c r="I237" s="68">
        <v>31500</v>
      </c>
      <c r="J237" s="61">
        <f t="shared" ref="J237:J244" si="64">K237+L237</f>
        <v>171500</v>
      </c>
      <c r="K237" s="62"/>
      <c r="L237" s="62">
        <f>171500</f>
        <v>171500</v>
      </c>
      <c r="M237" s="62">
        <f>171500</f>
        <v>171500</v>
      </c>
      <c r="N237" s="62">
        <f>171500</f>
        <v>171500</v>
      </c>
      <c r="O237" s="63">
        <f t="shared" ref="O237:O244" si="65">I237+J237</f>
        <v>203000</v>
      </c>
      <c r="P237" s="65">
        <f t="shared" si="51"/>
        <v>4664700</v>
      </c>
      <c r="Q237" s="62">
        <f t="shared" si="52"/>
        <v>279400</v>
      </c>
      <c r="R237" s="63">
        <f>H237+O237</f>
        <v>4944100</v>
      </c>
    </row>
    <row r="238" spans="1:18" s="9" customFormat="1" ht="27" customHeight="1" x14ac:dyDescent="0.2">
      <c r="A238" s="7" t="s">
        <v>522</v>
      </c>
      <c r="B238" s="59" t="s">
        <v>49</v>
      </c>
      <c r="C238" s="59" t="s">
        <v>53</v>
      </c>
      <c r="D238" s="60" t="s">
        <v>262</v>
      </c>
      <c r="E238" s="61">
        <v>980217</v>
      </c>
      <c r="F238" s="62">
        <f>G238</f>
        <v>132900</v>
      </c>
      <c r="G238" s="62">
        <f>G240+35000</f>
        <v>132900</v>
      </c>
      <c r="H238" s="63">
        <f>E238+F238</f>
        <v>1113117</v>
      </c>
      <c r="I238" s="68">
        <v>725550</v>
      </c>
      <c r="J238" s="61">
        <f t="shared" si="64"/>
        <v>-21000</v>
      </c>
      <c r="K238" s="62"/>
      <c r="L238" s="62">
        <f>-21000</f>
        <v>-21000</v>
      </c>
      <c r="M238" s="62">
        <f>-21000</f>
        <v>-21000</v>
      </c>
      <c r="N238" s="62">
        <f>-21000</f>
        <v>-21000</v>
      </c>
      <c r="O238" s="63">
        <f t="shared" si="65"/>
        <v>704550</v>
      </c>
      <c r="P238" s="65"/>
      <c r="Q238" s="62">
        <f t="shared" si="52"/>
        <v>111900</v>
      </c>
      <c r="R238" s="63">
        <f>H238+O238</f>
        <v>1817667</v>
      </c>
    </row>
    <row r="239" spans="1:18" s="9" customFormat="1" ht="12.75" customHeight="1" x14ac:dyDescent="0.2">
      <c r="A239" s="7"/>
      <c r="B239" s="59"/>
      <c r="C239" s="59"/>
      <c r="D239" s="60" t="s">
        <v>552</v>
      </c>
      <c r="E239" s="61"/>
      <c r="F239" s="62"/>
      <c r="G239" s="62"/>
      <c r="H239" s="63"/>
      <c r="I239" s="68">
        <v>0</v>
      </c>
      <c r="J239" s="61">
        <f t="shared" si="64"/>
        <v>0</v>
      </c>
      <c r="K239" s="62"/>
      <c r="L239" s="62"/>
      <c r="M239" s="62"/>
      <c r="N239" s="62"/>
      <c r="O239" s="63">
        <f t="shared" si="65"/>
        <v>0</v>
      </c>
      <c r="P239" s="65"/>
      <c r="Q239" s="62"/>
      <c r="R239" s="63"/>
    </row>
    <row r="240" spans="1:18" s="9" customFormat="1" ht="27" customHeight="1" x14ac:dyDescent="0.2">
      <c r="A240" s="7" t="s">
        <v>522</v>
      </c>
      <c r="B240" s="59" t="s">
        <v>49</v>
      </c>
      <c r="C240" s="59" t="s">
        <v>53</v>
      </c>
      <c r="D240" s="60" t="s">
        <v>530</v>
      </c>
      <c r="E240" s="61">
        <v>980217</v>
      </c>
      <c r="F240" s="62">
        <f>G240</f>
        <v>97900</v>
      </c>
      <c r="G240" s="62">
        <f>76900+21000</f>
        <v>97900</v>
      </c>
      <c r="H240" s="63">
        <f>E240+F240</f>
        <v>1078117</v>
      </c>
      <c r="I240" s="68">
        <v>0</v>
      </c>
      <c r="J240" s="61">
        <f t="shared" si="64"/>
        <v>0</v>
      </c>
      <c r="K240" s="62"/>
      <c r="L240" s="62"/>
      <c r="M240" s="62"/>
      <c r="N240" s="62"/>
      <c r="O240" s="63">
        <f t="shared" si="65"/>
        <v>0</v>
      </c>
      <c r="P240" s="65"/>
      <c r="Q240" s="62">
        <f>F240+J240</f>
        <v>97900</v>
      </c>
      <c r="R240" s="63">
        <f>H240+O240</f>
        <v>1078117</v>
      </c>
    </row>
    <row r="241" spans="1:18" s="9" customFormat="1" ht="33" customHeight="1" x14ac:dyDescent="0.2">
      <c r="A241" s="10" t="s">
        <v>385</v>
      </c>
      <c r="B241" s="59" t="s">
        <v>381</v>
      </c>
      <c r="C241" s="59" t="s">
        <v>318</v>
      </c>
      <c r="D241" s="60" t="s">
        <v>382</v>
      </c>
      <c r="E241" s="61">
        <v>0</v>
      </c>
      <c r="F241" s="62">
        <f>G241</f>
        <v>0</v>
      </c>
      <c r="G241" s="62"/>
      <c r="H241" s="63">
        <f>E241+F241</f>
        <v>0</v>
      </c>
      <c r="I241" s="64">
        <v>1049000</v>
      </c>
      <c r="J241" s="61">
        <f t="shared" si="64"/>
        <v>-35000</v>
      </c>
      <c r="K241" s="62"/>
      <c r="L241" s="62">
        <f>-35000</f>
        <v>-35000</v>
      </c>
      <c r="M241" s="62">
        <f>-35000</f>
        <v>-35000</v>
      </c>
      <c r="N241" s="62">
        <f>-35000</f>
        <v>-35000</v>
      </c>
      <c r="O241" s="63">
        <f t="shared" si="65"/>
        <v>1014000</v>
      </c>
      <c r="P241" s="65">
        <f t="shared" si="51"/>
        <v>1049000</v>
      </c>
      <c r="Q241" s="62">
        <f t="shared" si="52"/>
        <v>-35000</v>
      </c>
      <c r="R241" s="63">
        <f t="shared" si="53"/>
        <v>1014000</v>
      </c>
    </row>
    <row r="242" spans="1:18" s="9" customFormat="1" ht="27.75" customHeight="1" x14ac:dyDescent="0.2">
      <c r="A242" s="7" t="s">
        <v>345</v>
      </c>
      <c r="B242" s="59" t="s">
        <v>346</v>
      </c>
      <c r="C242" s="59" t="s">
        <v>318</v>
      </c>
      <c r="D242" s="60" t="s">
        <v>347</v>
      </c>
      <c r="E242" s="61">
        <v>49000</v>
      </c>
      <c r="F242" s="62">
        <f>G242</f>
        <v>0</v>
      </c>
      <c r="G242" s="62"/>
      <c r="H242" s="63">
        <f>E242+F242</f>
        <v>49000</v>
      </c>
      <c r="I242" s="64">
        <v>7648490</v>
      </c>
      <c r="J242" s="61">
        <f t="shared" si="64"/>
        <v>0</v>
      </c>
      <c r="K242" s="62"/>
      <c r="L242" s="62"/>
      <c r="M242" s="62"/>
      <c r="N242" s="62"/>
      <c r="O242" s="63">
        <f t="shared" si="65"/>
        <v>7648490</v>
      </c>
      <c r="P242" s="65">
        <f t="shared" si="51"/>
        <v>7697490</v>
      </c>
      <c r="Q242" s="62">
        <f t="shared" si="52"/>
        <v>0</v>
      </c>
      <c r="R242" s="63">
        <f t="shared" si="53"/>
        <v>7697490</v>
      </c>
    </row>
    <row r="243" spans="1:18" s="9" customFormat="1" ht="27.75" customHeight="1" x14ac:dyDescent="0.2">
      <c r="A243" s="7" t="s">
        <v>323</v>
      </c>
      <c r="B243" s="59" t="s">
        <v>317</v>
      </c>
      <c r="C243" s="59" t="s">
        <v>318</v>
      </c>
      <c r="D243" s="60" t="s">
        <v>319</v>
      </c>
      <c r="E243" s="61">
        <v>1191000</v>
      </c>
      <c r="F243" s="62">
        <f>G243</f>
        <v>-191000</v>
      </c>
      <c r="G243" s="62">
        <f>-82900-37100-71000</f>
        <v>-191000</v>
      </c>
      <c r="H243" s="63">
        <f>E243+F243</f>
        <v>1000000</v>
      </c>
      <c r="I243" s="68">
        <v>0</v>
      </c>
      <c r="J243" s="61">
        <f>K243+L243</f>
        <v>0</v>
      </c>
      <c r="K243" s="62"/>
      <c r="L243" s="62"/>
      <c r="M243" s="62"/>
      <c r="N243" s="62"/>
      <c r="O243" s="63">
        <f>I243+J243</f>
        <v>0</v>
      </c>
      <c r="P243" s="65">
        <f>E243+I243</f>
        <v>1191000</v>
      </c>
      <c r="Q243" s="62">
        <f>F243+J243</f>
        <v>-191000</v>
      </c>
      <c r="R243" s="63">
        <f>H243+O243</f>
        <v>1000000</v>
      </c>
    </row>
    <row r="244" spans="1:18" s="9" customFormat="1" ht="27.75" customHeight="1" x14ac:dyDescent="0.2">
      <c r="A244" s="7" t="s">
        <v>560</v>
      </c>
      <c r="B244" s="59" t="s">
        <v>144</v>
      </c>
      <c r="C244" s="59" t="s">
        <v>77</v>
      </c>
      <c r="D244" s="60" t="s">
        <v>39</v>
      </c>
      <c r="E244" s="61"/>
      <c r="F244" s="62"/>
      <c r="G244" s="62"/>
      <c r="H244" s="63"/>
      <c r="I244" s="68">
        <v>0</v>
      </c>
      <c r="J244" s="61">
        <f t="shared" si="64"/>
        <v>1000000</v>
      </c>
      <c r="K244" s="62"/>
      <c r="L244" s="62">
        <f>963100+36900</f>
        <v>1000000</v>
      </c>
      <c r="M244" s="62">
        <f>963100+36900</f>
        <v>1000000</v>
      </c>
      <c r="N244" s="62">
        <f>963100</f>
        <v>963100</v>
      </c>
      <c r="O244" s="63">
        <f t="shared" si="65"/>
        <v>1000000</v>
      </c>
      <c r="P244" s="65">
        <f t="shared" si="51"/>
        <v>0</v>
      </c>
      <c r="Q244" s="62">
        <f t="shared" si="52"/>
        <v>1000000</v>
      </c>
      <c r="R244" s="63">
        <f t="shared" si="53"/>
        <v>1000000</v>
      </c>
    </row>
    <row r="245" spans="1:18" s="24" customFormat="1" ht="21.95" customHeight="1" x14ac:dyDescent="0.2">
      <c r="A245" s="11" t="s">
        <v>250</v>
      </c>
      <c r="B245" s="111"/>
      <c r="C245" s="111"/>
      <c r="D245" s="49" t="s">
        <v>344</v>
      </c>
      <c r="E245" s="50">
        <v>22399300</v>
      </c>
      <c r="F245" s="51">
        <f>F247+F249+F250+F253+F248+F252</f>
        <v>307300</v>
      </c>
      <c r="G245" s="51">
        <f>G247+G249+G250+G253+G248+G252</f>
        <v>307300</v>
      </c>
      <c r="H245" s="55">
        <f>H247+H249+H250+H253+H248+H252</f>
        <v>22706600</v>
      </c>
      <c r="I245" s="73">
        <v>62869100</v>
      </c>
      <c r="J245" s="50">
        <f t="shared" ref="J245:O245" si="66">SUM(J247:J253)</f>
        <v>7492700</v>
      </c>
      <c r="K245" s="51">
        <f t="shared" si="66"/>
        <v>0</v>
      </c>
      <c r="L245" s="51">
        <f t="shared" si="66"/>
        <v>7492700</v>
      </c>
      <c r="M245" s="51">
        <f t="shared" si="66"/>
        <v>7492700</v>
      </c>
      <c r="N245" s="51">
        <f t="shared" si="66"/>
        <v>-180391</v>
      </c>
      <c r="O245" s="55">
        <f t="shared" si="66"/>
        <v>70361800</v>
      </c>
      <c r="P245" s="56">
        <f t="shared" si="51"/>
        <v>85268400</v>
      </c>
      <c r="Q245" s="51">
        <f t="shared" si="52"/>
        <v>7800000</v>
      </c>
      <c r="R245" s="55">
        <f t="shared" si="53"/>
        <v>93068400</v>
      </c>
    </row>
    <row r="246" spans="1:18" s="24" customFormat="1" ht="21.95" customHeight="1" x14ac:dyDescent="0.2">
      <c r="A246" s="11" t="s">
        <v>251</v>
      </c>
      <c r="B246" s="111"/>
      <c r="C246" s="111"/>
      <c r="D246" s="49" t="s">
        <v>344</v>
      </c>
      <c r="E246" s="54"/>
      <c r="F246" s="74"/>
      <c r="G246" s="74"/>
      <c r="H246" s="112"/>
      <c r="I246" s="113"/>
      <c r="J246" s="54"/>
      <c r="K246" s="74"/>
      <c r="L246" s="74"/>
      <c r="M246" s="74"/>
      <c r="N246" s="74"/>
      <c r="O246" s="75"/>
      <c r="P246" s="85"/>
      <c r="Q246" s="74"/>
      <c r="R246" s="75"/>
    </row>
    <row r="247" spans="1:18" s="9" customFormat="1" ht="23.25" customHeight="1" x14ac:dyDescent="0.2">
      <c r="A247" s="7" t="s">
        <v>252</v>
      </c>
      <c r="B247" s="59" t="s">
        <v>121</v>
      </c>
      <c r="C247" s="59" t="s">
        <v>66</v>
      </c>
      <c r="D247" s="60" t="s">
        <v>443</v>
      </c>
      <c r="E247" s="61">
        <v>1806500</v>
      </c>
      <c r="F247" s="62">
        <f t="shared" ref="F247:F253" si="67">G247</f>
        <v>0</v>
      </c>
      <c r="G247" s="62"/>
      <c r="H247" s="63">
        <f t="shared" ref="H247:H253" si="68">E247+F247</f>
        <v>1806500</v>
      </c>
      <c r="I247" s="64">
        <v>106000</v>
      </c>
      <c r="J247" s="61">
        <f t="shared" ref="J247:J253" si="69">K247+L247</f>
        <v>0</v>
      </c>
      <c r="K247" s="62"/>
      <c r="L247" s="62"/>
      <c r="M247" s="62"/>
      <c r="N247" s="62"/>
      <c r="O247" s="63">
        <f>I247+J247</f>
        <v>106000</v>
      </c>
      <c r="P247" s="65">
        <f t="shared" si="51"/>
        <v>1912500</v>
      </c>
      <c r="Q247" s="62">
        <f t="shared" si="52"/>
        <v>0</v>
      </c>
      <c r="R247" s="63">
        <f t="shared" si="53"/>
        <v>1912500</v>
      </c>
    </row>
    <row r="248" spans="1:18" s="9" customFormat="1" ht="21.95" customHeight="1" x14ac:dyDescent="0.2">
      <c r="A248" s="7" t="s">
        <v>340</v>
      </c>
      <c r="B248" s="59" t="s">
        <v>49</v>
      </c>
      <c r="C248" s="59" t="s">
        <v>53</v>
      </c>
      <c r="D248" s="60" t="s">
        <v>262</v>
      </c>
      <c r="E248" s="61">
        <v>299900</v>
      </c>
      <c r="F248" s="62">
        <f t="shared" si="67"/>
        <v>108800</v>
      </c>
      <c r="G248" s="62">
        <f>108800</f>
        <v>108800</v>
      </c>
      <c r="H248" s="63">
        <f t="shared" si="68"/>
        <v>408700</v>
      </c>
      <c r="I248" s="64">
        <v>0</v>
      </c>
      <c r="J248" s="61">
        <f t="shared" si="69"/>
        <v>0</v>
      </c>
      <c r="K248" s="62"/>
      <c r="L248" s="62"/>
      <c r="M248" s="62"/>
      <c r="N248" s="62"/>
      <c r="O248" s="63">
        <f t="shared" ref="O248:O253" si="70">I248+J248</f>
        <v>0</v>
      </c>
      <c r="P248" s="65">
        <f t="shared" si="51"/>
        <v>299900</v>
      </c>
      <c r="Q248" s="62">
        <f t="shared" si="52"/>
        <v>108800</v>
      </c>
      <c r="R248" s="63">
        <f t="shared" si="53"/>
        <v>408700</v>
      </c>
    </row>
    <row r="249" spans="1:18" s="9" customFormat="1" ht="21.95" customHeight="1" x14ac:dyDescent="0.2">
      <c r="A249" s="7" t="s">
        <v>253</v>
      </c>
      <c r="B249" s="59" t="s">
        <v>163</v>
      </c>
      <c r="C249" s="59" t="s">
        <v>76</v>
      </c>
      <c r="D249" s="60" t="s">
        <v>164</v>
      </c>
      <c r="E249" s="61">
        <v>1292900</v>
      </c>
      <c r="F249" s="62">
        <f t="shared" si="67"/>
        <v>198500</v>
      </c>
      <c r="G249" s="62">
        <f>64900+28000+105600</f>
        <v>198500</v>
      </c>
      <c r="H249" s="63">
        <f t="shared" si="68"/>
        <v>1491400</v>
      </c>
      <c r="I249" s="64">
        <v>17323100</v>
      </c>
      <c r="J249" s="61">
        <f t="shared" si="69"/>
        <v>-307300</v>
      </c>
      <c r="K249" s="62"/>
      <c r="L249" s="62">
        <f>-772819+465519</f>
        <v>-307300</v>
      </c>
      <c r="M249" s="62">
        <f>-772819+465519</f>
        <v>-307300</v>
      </c>
      <c r="N249" s="62">
        <f>-772819</f>
        <v>-772819</v>
      </c>
      <c r="O249" s="63">
        <f t="shared" si="70"/>
        <v>17015800</v>
      </c>
      <c r="P249" s="65">
        <f t="shared" si="51"/>
        <v>18616000</v>
      </c>
      <c r="Q249" s="62">
        <f t="shared" si="52"/>
        <v>-108800</v>
      </c>
      <c r="R249" s="63">
        <f t="shared" si="53"/>
        <v>18507200</v>
      </c>
    </row>
    <row r="250" spans="1:18" s="9" customFormat="1" ht="21.95" hidden="1" customHeight="1" x14ac:dyDescent="0.2">
      <c r="A250" s="7">
        <v>6516310</v>
      </c>
      <c r="B250" s="59">
        <v>6310</v>
      </c>
      <c r="C250" s="59" t="s">
        <v>77</v>
      </c>
      <c r="D250" s="60" t="s">
        <v>35</v>
      </c>
      <c r="E250" s="61">
        <v>0</v>
      </c>
      <c r="F250" s="62">
        <f t="shared" si="67"/>
        <v>0</v>
      </c>
      <c r="G250" s="62"/>
      <c r="H250" s="63">
        <f t="shared" si="68"/>
        <v>0</v>
      </c>
      <c r="I250" s="64">
        <v>0</v>
      </c>
      <c r="J250" s="61">
        <f t="shared" si="69"/>
        <v>0</v>
      </c>
      <c r="K250" s="62"/>
      <c r="L250" s="62"/>
      <c r="M250" s="62"/>
      <c r="N250" s="62"/>
      <c r="O250" s="63">
        <f t="shared" si="70"/>
        <v>0</v>
      </c>
      <c r="P250" s="65">
        <f t="shared" si="51"/>
        <v>0</v>
      </c>
      <c r="Q250" s="62">
        <f t="shared" si="52"/>
        <v>0</v>
      </c>
      <c r="R250" s="63">
        <f t="shared" si="53"/>
        <v>0</v>
      </c>
    </row>
    <row r="251" spans="1:18" s="9" customFormat="1" ht="21.95" customHeight="1" x14ac:dyDescent="0.2">
      <c r="A251" s="7" t="s">
        <v>386</v>
      </c>
      <c r="B251" s="59" t="s">
        <v>358</v>
      </c>
      <c r="C251" s="59" t="s">
        <v>318</v>
      </c>
      <c r="D251" s="60" t="s">
        <v>359</v>
      </c>
      <c r="E251" s="61">
        <v>0</v>
      </c>
      <c r="F251" s="62">
        <f t="shared" si="67"/>
        <v>0</v>
      </c>
      <c r="G251" s="62"/>
      <c r="H251" s="63">
        <f t="shared" si="68"/>
        <v>0</v>
      </c>
      <c r="I251" s="64">
        <v>5000000</v>
      </c>
      <c r="J251" s="61">
        <f t="shared" si="69"/>
        <v>0</v>
      </c>
      <c r="K251" s="62"/>
      <c r="L251" s="62">
        <f>-407572+407572</f>
        <v>0</v>
      </c>
      <c r="M251" s="62">
        <f>-407572+407572</f>
        <v>0</v>
      </c>
      <c r="N251" s="62">
        <f>-407572</f>
        <v>-407572</v>
      </c>
      <c r="O251" s="63">
        <f t="shared" si="70"/>
        <v>5000000</v>
      </c>
      <c r="P251" s="65">
        <f t="shared" si="51"/>
        <v>5000000</v>
      </c>
      <c r="Q251" s="62">
        <f t="shared" si="52"/>
        <v>0</v>
      </c>
      <c r="R251" s="63">
        <f t="shared" si="53"/>
        <v>5000000</v>
      </c>
    </row>
    <row r="252" spans="1:18" s="9" customFormat="1" ht="24" x14ac:dyDescent="0.2">
      <c r="A252" s="7" t="s">
        <v>350</v>
      </c>
      <c r="B252" s="59" t="s">
        <v>351</v>
      </c>
      <c r="C252" s="59" t="s">
        <v>348</v>
      </c>
      <c r="D252" s="60" t="s">
        <v>352</v>
      </c>
      <c r="E252" s="61">
        <v>19000000</v>
      </c>
      <c r="F252" s="62">
        <f t="shared" si="67"/>
        <v>0</v>
      </c>
      <c r="G252" s="62"/>
      <c r="H252" s="63">
        <f t="shared" si="68"/>
        <v>19000000</v>
      </c>
      <c r="I252" s="64">
        <v>0</v>
      </c>
      <c r="J252" s="61">
        <f t="shared" si="69"/>
        <v>0</v>
      </c>
      <c r="K252" s="62"/>
      <c r="L252" s="62"/>
      <c r="M252" s="62"/>
      <c r="N252" s="62"/>
      <c r="O252" s="63">
        <f t="shared" si="70"/>
        <v>0</v>
      </c>
      <c r="P252" s="65">
        <f t="shared" si="51"/>
        <v>19000000</v>
      </c>
      <c r="Q252" s="62">
        <f t="shared" si="52"/>
        <v>0</v>
      </c>
      <c r="R252" s="63">
        <f t="shared" si="53"/>
        <v>19000000</v>
      </c>
    </row>
    <row r="253" spans="1:18" s="9" customFormat="1" ht="21.95" customHeight="1" x14ac:dyDescent="0.2">
      <c r="A253" s="7" t="s">
        <v>254</v>
      </c>
      <c r="B253" s="59" t="s">
        <v>144</v>
      </c>
      <c r="C253" s="59" t="s">
        <v>77</v>
      </c>
      <c r="D253" s="60" t="s">
        <v>39</v>
      </c>
      <c r="E253" s="61">
        <v>0</v>
      </c>
      <c r="F253" s="62">
        <f t="shared" si="67"/>
        <v>0</v>
      </c>
      <c r="G253" s="62"/>
      <c r="H253" s="63">
        <f t="shared" si="68"/>
        <v>0</v>
      </c>
      <c r="I253" s="64">
        <v>40440000</v>
      </c>
      <c r="J253" s="61">
        <f t="shared" si="69"/>
        <v>7800000</v>
      </c>
      <c r="K253" s="62"/>
      <c r="L253" s="62">
        <f>1000000+6800000</f>
        <v>7800000</v>
      </c>
      <c r="M253" s="62">
        <f>1000000+6800000</f>
        <v>7800000</v>
      </c>
      <c r="N253" s="62">
        <f>1000000</f>
        <v>1000000</v>
      </c>
      <c r="O253" s="63">
        <f t="shared" si="70"/>
        <v>48240000</v>
      </c>
      <c r="P253" s="65">
        <f t="shared" si="51"/>
        <v>40440000</v>
      </c>
      <c r="Q253" s="62">
        <f t="shared" si="52"/>
        <v>7800000</v>
      </c>
      <c r="R253" s="63">
        <f t="shared" si="53"/>
        <v>48240000</v>
      </c>
    </row>
    <row r="254" spans="1:18" s="5" customFormat="1" ht="36" customHeight="1" x14ac:dyDescent="0.2">
      <c r="A254" s="11" t="s">
        <v>305</v>
      </c>
      <c r="B254" s="48"/>
      <c r="C254" s="48"/>
      <c r="D254" s="49" t="s">
        <v>26</v>
      </c>
      <c r="E254" s="50">
        <v>9224000</v>
      </c>
      <c r="F254" s="51">
        <f>F256+F257+F258+F260+F261+F263+F265+F259</f>
        <v>80000</v>
      </c>
      <c r="G254" s="51">
        <f>G256+G257+G258+G260+G261+G263+G265+G259</f>
        <v>80000</v>
      </c>
      <c r="H254" s="55">
        <f>H256+H257+H258+H260+H261+H263+H265+H259</f>
        <v>9304000</v>
      </c>
      <c r="I254" s="73">
        <v>0</v>
      </c>
      <c r="J254" s="50">
        <f t="shared" ref="J254:O254" si="71">J256+J257+J258+J260+J261+J263+J265+J259</f>
        <v>68000</v>
      </c>
      <c r="K254" s="51">
        <f t="shared" si="71"/>
        <v>0</v>
      </c>
      <c r="L254" s="51">
        <f t="shared" si="71"/>
        <v>68000</v>
      </c>
      <c r="M254" s="51">
        <f t="shared" si="71"/>
        <v>68000</v>
      </c>
      <c r="N254" s="51">
        <f t="shared" si="71"/>
        <v>68000</v>
      </c>
      <c r="O254" s="55">
        <f t="shared" si="71"/>
        <v>68000</v>
      </c>
      <c r="P254" s="56">
        <f>E254+I254</f>
        <v>9224000</v>
      </c>
      <c r="Q254" s="51">
        <f>F254+J254</f>
        <v>148000</v>
      </c>
      <c r="R254" s="55">
        <f>H254+O254</f>
        <v>9372000</v>
      </c>
    </row>
    <row r="255" spans="1:18" s="5" customFormat="1" ht="36" customHeight="1" x14ac:dyDescent="0.2">
      <c r="A255" s="11" t="s">
        <v>295</v>
      </c>
      <c r="B255" s="48"/>
      <c r="C255" s="48"/>
      <c r="D255" s="49" t="s">
        <v>26</v>
      </c>
      <c r="E255" s="50"/>
      <c r="F255" s="51"/>
      <c r="G255" s="51"/>
      <c r="H255" s="52"/>
      <c r="I255" s="53"/>
      <c r="J255" s="54">
        <f t="shared" ref="J255:J261" si="72">K255+L255</f>
        <v>0</v>
      </c>
      <c r="K255" s="51"/>
      <c r="L255" s="51"/>
      <c r="M255" s="51"/>
      <c r="N255" s="51"/>
      <c r="O255" s="55"/>
      <c r="P255" s="85"/>
      <c r="Q255" s="51"/>
      <c r="R255" s="55"/>
    </row>
    <row r="256" spans="1:18" s="9" customFormat="1" ht="24" x14ac:dyDescent="0.2">
      <c r="A256" s="7" t="s">
        <v>296</v>
      </c>
      <c r="B256" s="59" t="s">
        <v>121</v>
      </c>
      <c r="C256" s="59" t="s">
        <v>66</v>
      </c>
      <c r="D256" s="60" t="s">
        <v>41</v>
      </c>
      <c r="E256" s="61">
        <v>4834000</v>
      </c>
      <c r="F256" s="62">
        <f>G256</f>
        <v>0</v>
      </c>
      <c r="G256" s="62"/>
      <c r="H256" s="63">
        <f>E256+F256</f>
        <v>4834000</v>
      </c>
      <c r="I256" s="68">
        <v>0</v>
      </c>
      <c r="J256" s="61">
        <f t="shared" si="72"/>
        <v>0</v>
      </c>
      <c r="K256" s="62"/>
      <c r="L256" s="62"/>
      <c r="M256" s="62"/>
      <c r="N256" s="62"/>
      <c r="O256" s="63">
        <f>I256+J256</f>
        <v>0</v>
      </c>
      <c r="P256" s="65">
        <f t="shared" si="51"/>
        <v>4834000</v>
      </c>
      <c r="Q256" s="62">
        <f t="shared" si="52"/>
        <v>0</v>
      </c>
      <c r="R256" s="63">
        <f t="shared" si="53"/>
        <v>4834000</v>
      </c>
    </row>
    <row r="257" spans="1:18" s="9" customFormat="1" ht="21.95" hidden="1" customHeight="1" x14ac:dyDescent="0.2">
      <c r="A257" s="7">
        <v>7316310</v>
      </c>
      <c r="B257" s="59">
        <v>6310</v>
      </c>
      <c r="C257" s="59" t="s">
        <v>77</v>
      </c>
      <c r="D257" s="60" t="s">
        <v>35</v>
      </c>
      <c r="E257" s="61">
        <v>0</v>
      </c>
      <c r="F257" s="62">
        <f t="shared" ref="F257:F270" si="73">G257</f>
        <v>0</v>
      </c>
      <c r="G257" s="62"/>
      <c r="H257" s="63">
        <f t="shared" ref="H257:H270" si="74">E257+F257</f>
        <v>0</v>
      </c>
      <c r="I257" s="68">
        <v>0</v>
      </c>
      <c r="J257" s="61">
        <f t="shared" si="72"/>
        <v>0</v>
      </c>
      <c r="K257" s="62"/>
      <c r="L257" s="62"/>
      <c r="M257" s="62"/>
      <c r="N257" s="62"/>
      <c r="O257" s="63">
        <f t="shared" ref="O257:O270" si="75">I257+J257</f>
        <v>0</v>
      </c>
      <c r="P257" s="65">
        <f t="shared" si="51"/>
        <v>0</v>
      </c>
      <c r="Q257" s="62">
        <f t="shared" si="52"/>
        <v>0</v>
      </c>
      <c r="R257" s="63">
        <f t="shared" si="53"/>
        <v>0</v>
      </c>
    </row>
    <row r="258" spans="1:18" s="9" customFormat="1" ht="29.25" customHeight="1" x14ac:dyDescent="0.2">
      <c r="A258" s="7" t="s">
        <v>445</v>
      </c>
      <c r="B258" s="59" t="s">
        <v>446</v>
      </c>
      <c r="C258" s="59" t="s">
        <v>77</v>
      </c>
      <c r="D258" s="60" t="s">
        <v>166</v>
      </c>
      <c r="E258" s="61">
        <v>1130000</v>
      </c>
      <c r="F258" s="62">
        <f t="shared" si="73"/>
        <v>0</v>
      </c>
      <c r="G258" s="62"/>
      <c r="H258" s="63">
        <f t="shared" si="74"/>
        <v>1130000</v>
      </c>
      <c r="I258" s="68">
        <v>0</v>
      </c>
      <c r="J258" s="61">
        <f t="shared" si="72"/>
        <v>0</v>
      </c>
      <c r="K258" s="62"/>
      <c r="L258" s="62"/>
      <c r="M258" s="62"/>
      <c r="N258" s="62"/>
      <c r="O258" s="63">
        <f t="shared" si="75"/>
        <v>0</v>
      </c>
      <c r="P258" s="65">
        <f t="shared" si="51"/>
        <v>1130000</v>
      </c>
      <c r="Q258" s="62">
        <f t="shared" si="52"/>
        <v>0</v>
      </c>
      <c r="R258" s="63">
        <f t="shared" si="53"/>
        <v>1130000</v>
      </c>
    </row>
    <row r="259" spans="1:18" s="9" customFormat="1" ht="29.25" customHeight="1" x14ac:dyDescent="0.2">
      <c r="A259" s="7" t="s">
        <v>514</v>
      </c>
      <c r="B259" s="59" t="s">
        <v>49</v>
      </c>
      <c r="C259" s="59" t="s">
        <v>53</v>
      </c>
      <c r="D259" s="60" t="s">
        <v>262</v>
      </c>
      <c r="E259" s="61">
        <v>40000</v>
      </c>
      <c r="F259" s="62">
        <f t="shared" si="73"/>
        <v>0</v>
      </c>
      <c r="G259" s="62"/>
      <c r="H259" s="63">
        <f t="shared" si="74"/>
        <v>40000</v>
      </c>
      <c r="I259" s="68"/>
      <c r="J259" s="61">
        <f t="shared" si="72"/>
        <v>68000</v>
      </c>
      <c r="K259" s="62"/>
      <c r="L259" s="62">
        <f>68000</f>
        <v>68000</v>
      </c>
      <c r="M259" s="62">
        <f>68000</f>
        <v>68000</v>
      </c>
      <c r="N259" s="62">
        <f>68000</f>
        <v>68000</v>
      </c>
      <c r="O259" s="63">
        <f t="shared" si="75"/>
        <v>68000</v>
      </c>
      <c r="P259" s="65">
        <f t="shared" si="51"/>
        <v>40000</v>
      </c>
      <c r="Q259" s="62">
        <f t="shared" si="52"/>
        <v>68000</v>
      </c>
      <c r="R259" s="63">
        <f t="shared" si="53"/>
        <v>108000</v>
      </c>
    </row>
    <row r="260" spans="1:18" s="9" customFormat="1" ht="25.5" customHeight="1" x14ac:dyDescent="0.2">
      <c r="A260" s="7" t="s">
        <v>304</v>
      </c>
      <c r="B260" s="59" t="s">
        <v>167</v>
      </c>
      <c r="C260" s="59" t="s">
        <v>78</v>
      </c>
      <c r="D260" s="60" t="s">
        <v>27</v>
      </c>
      <c r="E260" s="61">
        <v>650000</v>
      </c>
      <c r="F260" s="62">
        <f t="shared" si="73"/>
        <v>0</v>
      </c>
      <c r="G260" s="62"/>
      <c r="H260" s="63">
        <f t="shared" si="74"/>
        <v>650000</v>
      </c>
      <c r="I260" s="68">
        <v>0</v>
      </c>
      <c r="J260" s="61">
        <f t="shared" si="72"/>
        <v>0</v>
      </c>
      <c r="K260" s="62"/>
      <c r="L260" s="62"/>
      <c r="M260" s="62"/>
      <c r="N260" s="62"/>
      <c r="O260" s="63">
        <f t="shared" si="75"/>
        <v>0</v>
      </c>
      <c r="P260" s="65">
        <f t="shared" si="51"/>
        <v>650000</v>
      </c>
      <c r="Q260" s="62">
        <f t="shared" si="52"/>
        <v>0</v>
      </c>
      <c r="R260" s="63">
        <f t="shared" si="53"/>
        <v>650000</v>
      </c>
    </row>
    <row r="261" spans="1:18" s="9" customFormat="1" ht="22.5" customHeight="1" x14ac:dyDescent="0.2">
      <c r="A261" s="7" t="s">
        <v>299</v>
      </c>
      <c r="B261" s="59" t="s">
        <v>300</v>
      </c>
      <c r="C261" s="59" t="s">
        <v>292</v>
      </c>
      <c r="D261" s="66" t="s">
        <v>298</v>
      </c>
      <c r="E261" s="61">
        <v>200000</v>
      </c>
      <c r="F261" s="62">
        <f t="shared" si="73"/>
        <v>0</v>
      </c>
      <c r="G261" s="62"/>
      <c r="H261" s="63">
        <f t="shared" si="74"/>
        <v>200000</v>
      </c>
      <c r="I261" s="68">
        <v>0</v>
      </c>
      <c r="J261" s="61">
        <f t="shared" si="72"/>
        <v>0</v>
      </c>
      <c r="K261" s="62"/>
      <c r="L261" s="62"/>
      <c r="M261" s="62"/>
      <c r="N261" s="62"/>
      <c r="O261" s="63">
        <f t="shared" si="75"/>
        <v>0</v>
      </c>
      <c r="P261" s="65">
        <f t="shared" si="51"/>
        <v>200000</v>
      </c>
      <c r="Q261" s="62">
        <f t="shared" si="52"/>
        <v>0</v>
      </c>
      <c r="R261" s="63">
        <f t="shared" si="53"/>
        <v>200000</v>
      </c>
    </row>
    <row r="262" spans="1:18" s="9" customFormat="1" ht="29.25" customHeight="1" x14ac:dyDescent="0.2">
      <c r="A262" s="7"/>
      <c r="B262" s="59"/>
      <c r="C262" s="59"/>
      <c r="D262" s="66" t="s">
        <v>303</v>
      </c>
      <c r="E262" s="61">
        <v>200000</v>
      </c>
      <c r="F262" s="62">
        <f t="shared" si="73"/>
        <v>0</v>
      </c>
      <c r="G262" s="62"/>
      <c r="H262" s="63">
        <f t="shared" si="74"/>
        <v>200000</v>
      </c>
      <c r="I262" s="68"/>
      <c r="J262" s="61"/>
      <c r="K262" s="62"/>
      <c r="L262" s="62"/>
      <c r="M262" s="62"/>
      <c r="N262" s="62"/>
      <c r="O262" s="63"/>
      <c r="P262" s="65">
        <f t="shared" si="51"/>
        <v>200000</v>
      </c>
      <c r="Q262" s="62">
        <f t="shared" si="52"/>
        <v>0</v>
      </c>
      <c r="R262" s="63">
        <f t="shared" si="53"/>
        <v>200000</v>
      </c>
    </row>
    <row r="263" spans="1:18" s="9" customFormat="1" ht="31.5" customHeight="1" x14ac:dyDescent="0.2">
      <c r="A263" s="7" t="s">
        <v>294</v>
      </c>
      <c r="B263" s="59" t="s">
        <v>291</v>
      </c>
      <c r="C263" s="59" t="s">
        <v>292</v>
      </c>
      <c r="D263" s="66" t="s">
        <v>447</v>
      </c>
      <c r="E263" s="61">
        <v>590000</v>
      </c>
      <c r="F263" s="62">
        <f t="shared" si="73"/>
        <v>0</v>
      </c>
      <c r="G263" s="62"/>
      <c r="H263" s="63">
        <f t="shared" si="74"/>
        <v>590000</v>
      </c>
      <c r="I263" s="68">
        <v>0</v>
      </c>
      <c r="J263" s="61">
        <f>K263+L263</f>
        <v>0</v>
      </c>
      <c r="K263" s="62"/>
      <c r="L263" s="62"/>
      <c r="M263" s="62"/>
      <c r="N263" s="62"/>
      <c r="O263" s="63">
        <f t="shared" si="75"/>
        <v>0</v>
      </c>
      <c r="P263" s="65">
        <f t="shared" si="51"/>
        <v>590000</v>
      </c>
      <c r="Q263" s="62">
        <f t="shared" si="52"/>
        <v>0</v>
      </c>
      <c r="R263" s="63">
        <f t="shared" si="53"/>
        <v>590000</v>
      </c>
    </row>
    <row r="264" spans="1:18" s="9" customFormat="1" ht="36.75" customHeight="1" x14ac:dyDescent="0.2">
      <c r="A264" s="7"/>
      <c r="B264" s="59"/>
      <c r="C264" s="59"/>
      <c r="D264" s="66" t="s">
        <v>293</v>
      </c>
      <c r="E264" s="61">
        <v>590000</v>
      </c>
      <c r="F264" s="62">
        <f t="shared" si="73"/>
        <v>0</v>
      </c>
      <c r="G264" s="62"/>
      <c r="H264" s="63">
        <f t="shared" si="74"/>
        <v>590000</v>
      </c>
      <c r="I264" s="68"/>
      <c r="J264" s="61"/>
      <c r="K264" s="62"/>
      <c r="L264" s="62"/>
      <c r="M264" s="62"/>
      <c r="N264" s="62"/>
      <c r="O264" s="63"/>
      <c r="P264" s="65">
        <f t="shared" si="51"/>
        <v>590000</v>
      </c>
      <c r="Q264" s="62">
        <f t="shared" si="52"/>
        <v>0</v>
      </c>
      <c r="R264" s="63">
        <f t="shared" si="53"/>
        <v>590000</v>
      </c>
    </row>
    <row r="265" spans="1:18" s="9" customFormat="1" ht="26.25" customHeight="1" x14ac:dyDescent="0.2">
      <c r="A265" s="7" t="s">
        <v>297</v>
      </c>
      <c r="B265" s="114" t="s">
        <v>509</v>
      </c>
      <c r="C265" s="59" t="s">
        <v>77</v>
      </c>
      <c r="D265" s="115" t="s">
        <v>301</v>
      </c>
      <c r="E265" s="61">
        <v>1780000</v>
      </c>
      <c r="F265" s="62">
        <f t="shared" si="73"/>
        <v>80000</v>
      </c>
      <c r="G265" s="62">
        <f>G267+G268+G269+G270</f>
        <v>80000</v>
      </c>
      <c r="H265" s="63">
        <f>E265+F265</f>
        <v>1860000</v>
      </c>
      <c r="I265" s="68">
        <v>0</v>
      </c>
      <c r="J265" s="61">
        <f>K265+L265</f>
        <v>0</v>
      </c>
      <c r="K265" s="62"/>
      <c r="L265" s="62"/>
      <c r="M265" s="62"/>
      <c r="N265" s="62"/>
      <c r="O265" s="63">
        <f t="shared" si="75"/>
        <v>0</v>
      </c>
      <c r="P265" s="65">
        <f t="shared" si="51"/>
        <v>1780000</v>
      </c>
      <c r="Q265" s="62">
        <f t="shared" si="52"/>
        <v>80000</v>
      </c>
      <c r="R265" s="63">
        <f t="shared" si="53"/>
        <v>1860000</v>
      </c>
    </row>
    <row r="266" spans="1:18" s="9" customFormat="1" ht="13.5" customHeight="1" x14ac:dyDescent="0.2">
      <c r="A266" s="7"/>
      <c r="B266" s="114"/>
      <c r="C266" s="59"/>
      <c r="D266" s="115" t="s">
        <v>302</v>
      </c>
      <c r="E266" s="61"/>
      <c r="F266" s="62"/>
      <c r="G266" s="62"/>
      <c r="H266" s="63"/>
      <c r="I266" s="68"/>
      <c r="J266" s="61"/>
      <c r="K266" s="62"/>
      <c r="L266" s="62"/>
      <c r="M266" s="62"/>
      <c r="N266" s="62"/>
      <c r="O266" s="63"/>
      <c r="P266" s="65"/>
      <c r="Q266" s="62"/>
      <c r="R266" s="63"/>
    </row>
    <row r="267" spans="1:18" s="9" customFormat="1" ht="36.75" customHeight="1" x14ac:dyDescent="0.2">
      <c r="A267" s="7"/>
      <c r="B267" s="114"/>
      <c r="C267" s="59"/>
      <c r="D267" s="115" t="s">
        <v>80</v>
      </c>
      <c r="E267" s="61">
        <v>400000</v>
      </c>
      <c r="F267" s="62">
        <f t="shared" si="73"/>
        <v>80000</v>
      </c>
      <c r="G267" s="62">
        <f>80000</f>
        <v>80000</v>
      </c>
      <c r="H267" s="63">
        <f t="shared" si="74"/>
        <v>480000</v>
      </c>
      <c r="I267" s="68">
        <v>0</v>
      </c>
      <c r="J267" s="61"/>
      <c r="K267" s="62"/>
      <c r="L267" s="62"/>
      <c r="M267" s="62"/>
      <c r="N267" s="62"/>
      <c r="O267" s="63">
        <f t="shared" si="75"/>
        <v>0</v>
      </c>
      <c r="P267" s="65">
        <f t="shared" si="51"/>
        <v>400000</v>
      </c>
      <c r="Q267" s="62">
        <f t="shared" si="52"/>
        <v>80000</v>
      </c>
      <c r="R267" s="63">
        <f t="shared" si="53"/>
        <v>480000</v>
      </c>
    </row>
    <row r="268" spans="1:18" s="9" customFormat="1" ht="41.25" customHeight="1" x14ac:dyDescent="0.2">
      <c r="A268" s="7"/>
      <c r="B268" s="59"/>
      <c r="C268" s="59"/>
      <c r="D268" s="66" t="s">
        <v>393</v>
      </c>
      <c r="E268" s="61">
        <v>700000</v>
      </c>
      <c r="F268" s="62">
        <f t="shared" si="73"/>
        <v>0</v>
      </c>
      <c r="G268" s="62"/>
      <c r="H268" s="63">
        <f t="shared" si="74"/>
        <v>700000</v>
      </c>
      <c r="I268" s="68">
        <v>0</v>
      </c>
      <c r="J268" s="61">
        <f>K268+L268</f>
        <v>0</v>
      </c>
      <c r="K268" s="62"/>
      <c r="L268" s="62"/>
      <c r="M268" s="62"/>
      <c r="N268" s="62"/>
      <c r="O268" s="63">
        <f t="shared" si="75"/>
        <v>0</v>
      </c>
      <c r="P268" s="65">
        <f t="shared" si="51"/>
        <v>700000</v>
      </c>
      <c r="Q268" s="62">
        <f t="shared" si="52"/>
        <v>0</v>
      </c>
      <c r="R268" s="63">
        <f t="shared" si="53"/>
        <v>700000</v>
      </c>
    </row>
    <row r="269" spans="1:18" s="9" customFormat="1" ht="32.25" customHeight="1" x14ac:dyDescent="0.2">
      <c r="A269" s="7"/>
      <c r="B269" s="59"/>
      <c r="C269" s="59"/>
      <c r="D269" s="66" t="s">
        <v>79</v>
      </c>
      <c r="E269" s="61">
        <v>580000</v>
      </c>
      <c r="F269" s="62">
        <f t="shared" si="73"/>
        <v>0</v>
      </c>
      <c r="G269" s="62"/>
      <c r="H269" s="63">
        <f t="shared" si="74"/>
        <v>580000</v>
      </c>
      <c r="I269" s="68">
        <v>0</v>
      </c>
      <c r="J269" s="61">
        <f>K269+L269</f>
        <v>0</v>
      </c>
      <c r="K269" s="62"/>
      <c r="L269" s="62"/>
      <c r="M269" s="62"/>
      <c r="N269" s="62"/>
      <c r="O269" s="63">
        <f t="shared" si="75"/>
        <v>0</v>
      </c>
      <c r="P269" s="65">
        <f t="shared" si="51"/>
        <v>580000</v>
      </c>
      <c r="Q269" s="62">
        <f t="shared" si="52"/>
        <v>0</v>
      </c>
      <c r="R269" s="63">
        <f t="shared" si="53"/>
        <v>580000</v>
      </c>
    </row>
    <row r="270" spans="1:18" s="9" customFormat="1" ht="46.5" customHeight="1" x14ac:dyDescent="0.2">
      <c r="A270" s="7"/>
      <c r="B270" s="59"/>
      <c r="C270" s="59"/>
      <c r="D270" s="115" t="s">
        <v>113</v>
      </c>
      <c r="E270" s="61">
        <v>100000</v>
      </c>
      <c r="F270" s="62">
        <f t="shared" si="73"/>
        <v>0</v>
      </c>
      <c r="G270" s="62"/>
      <c r="H270" s="63">
        <f t="shared" si="74"/>
        <v>100000</v>
      </c>
      <c r="I270" s="68">
        <v>0</v>
      </c>
      <c r="J270" s="61"/>
      <c r="K270" s="62"/>
      <c r="L270" s="62"/>
      <c r="M270" s="62"/>
      <c r="N270" s="62"/>
      <c r="O270" s="63">
        <f t="shared" si="75"/>
        <v>0</v>
      </c>
      <c r="P270" s="65">
        <f t="shared" si="51"/>
        <v>100000</v>
      </c>
      <c r="Q270" s="62">
        <f t="shared" si="52"/>
        <v>0</v>
      </c>
      <c r="R270" s="63">
        <f t="shared" si="53"/>
        <v>100000</v>
      </c>
    </row>
    <row r="271" spans="1:18" s="5" customFormat="1" ht="33" customHeight="1" x14ac:dyDescent="0.2">
      <c r="A271" s="11" t="s">
        <v>306</v>
      </c>
      <c r="B271" s="48"/>
      <c r="C271" s="48"/>
      <c r="D271" s="72" t="s">
        <v>65</v>
      </c>
      <c r="E271" s="50">
        <v>8167000</v>
      </c>
      <c r="F271" s="51">
        <f>F273+F275+F276+F274</f>
        <v>0</v>
      </c>
      <c r="G271" s="51">
        <f>G273+G275+G276+G274</f>
        <v>0</v>
      </c>
      <c r="H271" s="55">
        <f>H273+H275+H276+H274</f>
        <v>8167000</v>
      </c>
      <c r="I271" s="73">
        <v>45000</v>
      </c>
      <c r="J271" s="50">
        <f t="shared" ref="J271:O271" si="76">J273+J275+J274</f>
        <v>0</v>
      </c>
      <c r="K271" s="51">
        <f t="shared" si="76"/>
        <v>0</v>
      </c>
      <c r="L271" s="51">
        <f t="shared" si="76"/>
        <v>0</v>
      </c>
      <c r="M271" s="51">
        <f t="shared" si="76"/>
        <v>0</v>
      </c>
      <c r="N271" s="51">
        <f t="shared" si="76"/>
        <v>0</v>
      </c>
      <c r="O271" s="55">
        <f t="shared" si="76"/>
        <v>45000</v>
      </c>
      <c r="P271" s="56">
        <f t="shared" si="51"/>
        <v>8212000</v>
      </c>
      <c r="Q271" s="51">
        <f t="shared" si="52"/>
        <v>0</v>
      </c>
      <c r="R271" s="55">
        <f t="shared" si="53"/>
        <v>8212000</v>
      </c>
    </row>
    <row r="272" spans="1:18" s="5" customFormat="1" ht="33" customHeight="1" x14ac:dyDescent="0.2">
      <c r="A272" s="11" t="s">
        <v>307</v>
      </c>
      <c r="B272" s="48"/>
      <c r="C272" s="48"/>
      <c r="D272" s="72" t="s">
        <v>65</v>
      </c>
      <c r="E272" s="50"/>
      <c r="F272" s="51"/>
      <c r="G272" s="51"/>
      <c r="H272" s="52"/>
      <c r="I272" s="53"/>
      <c r="J272" s="54">
        <f>K272+L272</f>
        <v>0</v>
      </c>
      <c r="K272" s="51"/>
      <c r="L272" s="51"/>
      <c r="M272" s="51"/>
      <c r="N272" s="51"/>
      <c r="O272" s="55"/>
      <c r="P272" s="85"/>
      <c r="Q272" s="74"/>
      <c r="R272" s="75"/>
    </row>
    <row r="273" spans="1:18" s="9" customFormat="1" ht="24" x14ac:dyDescent="0.2">
      <c r="A273" s="7" t="s">
        <v>308</v>
      </c>
      <c r="B273" s="59" t="s">
        <v>121</v>
      </c>
      <c r="C273" s="59" t="s">
        <v>66</v>
      </c>
      <c r="D273" s="60" t="s">
        <v>71</v>
      </c>
      <c r="E273" s="61">
        <v>7722000</v>
      </c>
      <c r="F273" s="62">
        <f>G273</f>
        <v>45000</v>
      </c>
      <c r="G273" s="62">
        <f>45000</f>
        <v>45000</v>
      </c>
      <c r="H273" s="63">
        <f>E273+F273</f>
        <v>7767000</v>
      </c>
      <c r="I273" s="68">
        <v>45000</v>
      </c>
      <c r="J273" s="61">
        <f>K273+L273</f>
        <v>0</v>
      </c>
      <c r="K273" s="62"/>
      <c r="L273" s="62"/>
      <c r="M273" s="62"/>
      <c r="N273" s="62"/>
      <c r="O273" s="63">
        <f>I273+J273</f>
        <v>45000</v>
      </c>
      <c r="P273" s="65">
        <f t="shared" ref="P273:P314" si="77">E273+I273</f>
        <v>7767000</v>
      </c>
      <c r="Q273" s="62">
        <f t="shared" ref="Q273:Q313" si="78">F273+J273</f>
        <v>45000</v>
      </c>
      <c r="R273" s="63">
        <f t="shared" ref="R273:R313" si="79">H273+O273</f>
        <v>7812000</v>
      </c>
    </row>
    <row r="274" spans="1:18" s="9" customFormat="1" ht="20.25" customHeight="1" x14ac:dyDescent="0.2">
      <c r="A274" s="7" t="s">
        <v>316</v>
      </c>
      <c r="B274" s="59" t="s">
        <v>49</v>
      </c>
      <c r="C274" s="59" t="s">
        <v>53</v>
      </c>
      <c r="D274" s="60" t="s">
        <v>262</v>
      </c>
      <c r="E274" s="61">
        <v>35000</v>
      </c>
      <c r="F274" s="62">
        <f>G274</f>
        <v>0</v>
      </c>
      <c r="G274" s="62"/>
      <c r="H274" s="63">
        <f>E274+F274</f>
        <v>35000</v>
      </c>
      <c r="I274" s="68">
        <v>0</v>
      </c>
      <c r="J274" s="61">
        <f>K274+L274</f>
        <v>0</v>
      </c>
      <c r="K274" s="62"/>
      <c r="L274" s="62"/>
      <c r="M274" s="62"/>
      <c r="N274" s="62"/>
      <c r="O274" s="63">
        <f>I274+J274</f>
        <v>0</v>
      </c>
      <c r="P274" s="65">
        <f t="shared" si="77"/>
        <v>35000</v>
      </c>
      <c r="Q274" s="62">
        <f t="shared" si="78"/>
        <v>0</v>
      </c>
      <c r="R274" s="63">
        <f t="shared" si="79"/>
        <v>35000</v>
      </c>
    </row>
    <row r="275" spans="1:18" s="9" customFormat="1" ht="21.95" customHeight="1" x14ac:dyDescent="0.2">
      <c r="A275" s="7" t="s">
        <v>309</v>
      </c>
      <c r="B275" s="59" t="s">
        <v>310</v>
      </c>
      <c r="C275" s="59" t="s">
        <v>311</v>
      </c>
      <c r="D275" s="60" t="s">
        <v>312</v>
      </c>
      <c r="E275" s="61">
        <v>410000</v>
      </c>
      <c r="F275" s="62">
        <f>G275</f>
        <v>-45000</v>
      </c>
      <c r="G275" s="62">
        <f>-30000-45000+30000</f>
        <v>-45000</v>
      </c>
      <c r="H275" s="63">
        <f>E275+F275</f>
        <v>365000</v>
      </c>
      <c r="I275" s="68">
        <v>0</v>
      </c>
      <c r="J275" s="61">
        <f>K275+L275</f>
        <v>0</v>
      </c>
      <c r="K275" s="62"/>
      <c r="L275" s="62"/>
      <c r="M275" s="62"/>
      <c r="N275" s="62"/>
      <c r="O275" s="63">
        <f>I275+J275</f>
        <v>0</v>
      </c>
      <c r="P275" s="65">
        <f t="shared" si="77"/>
        <v>410000</v>
      </c>
      <c r="Q275" s="62">
        <f t="shared" si="78"/>
        <v>-45000</v>
      </c>
      <c r="R275" s="63">
        <f t="shared" si="79"/>
        <v>365000</v>
      </c>
    </row>
    <row r="276" spans="1:18" s="9" customFormat="1" ht="51" customHeight="1" x14ac:dyDescent="0.2">
      <c r="A276" s="7" t="s">
        <v>313</v>
      </c>
      <c r="B276" s="59" t="s">
        <v>314</v>
      </c>
      <c r="C276" s="59" t="s">
        <v>77</v>
      </c>
      <c r="D276" s="60" t="s">
        <v>315</v>
      </c>
      <c r="E276" s="61">
        <v>0</v>
      </c>
      <c r="F276" s="62">
        <f>G276</f>
        <v>0</v>
      </c>
      <c r="G276" s="62"/>
      <c r="H276" s="63">
        <f>E276+F276</f>
        <v>0</v>
      </c>
      <c r="I276" s="68">
        <v>0</v>
      </c>
      <c r="J276" s="61"/>
      <c r="K276" s="62"/>
      <c r="L276" s="62"/>
      <c r="M276" s="62"/>
      <c r="N276" s="62"/>
      <c r="O276" s="63">
        <f>I276+J276</f>
        <v>0</v>
      </c>
      <c r="P276" s="65">
        <f t="shared" si="77"/>
        <v>0</v>
      </c>
      <c r="Q276" s="62">
        <f t="shared" si="78"/>
        <v>0</v>
      </c>
      <c r="R276" s="63">
        <f t="shared" si="79"/>
        <v>0</v>
      </c>
    </row>
    <row r="277" spans="1:18" s="5" customFormat="1" ht="27.75" customHeight="1" x14ac:dyDescent="0.2">
      <c r="A277" s="11" t="s">
        <v>190</v>
      </c>
      <c r="B277" s="48"/>
      <c r="C277" s="48"/>
      <c r="D277" s="49" t="s">
        <v>28</v>
      </c>
      <c r="E277" s="51">
        <f>E279+E280+E281+E287+E288+E289+E293+E309+E290</f>
        <v>90132811</v>
      </c>
      <c r="F277" s="51">
        <f>F279+F280+F281+F287+F288+F289+F293+F309+F290</f>
        <v>672590</v>
      </c>
      <c r="G277" s="51">
        <f>G279+G280+G281+G287+G288+G289+G293+G309+G290</f>
        <v>672590</v>
      </c>
      <c r="H277" s="55">
        <f>H279+H280+H281+H287+H288+H289+H293+H309+H290</f>
        <v>90805401</v>
      </c>
      <c r="I277" s="73">
        <v>30908854</v>
      </c>
      <c r="J277" s="50">
        <f t="shared" ref="J277:R277" si="80">J279+J280+J281+J287+J288+J289+J293+J309+J290</f>
        <v>-390000</v>
      </c>
      <c r="K277" s="51">
        <f t="shared" si="80"/>
        <v>0</v>
      </c>
      <c r="L277" s="51">
        <f t="shared" si="80"/>
        <v>-390000</v>
      </c>
      <c r="M277" s="51">
        <f t="shared" si="80"/>
        <v>-390000</v>
      </c>
      <c r="N277" s="51">
        <f t="shared" si="80"/>
        <v>-590000</v>
      </c>
      <c r="O277" s="55">
        <f t="shared" si="80"/>
        <v>30518854</v>
      </c>
      <c r="P277" s="56">
        <f t="shared" si="80"/>
        <v>121041665</v>
      </c>
      <c r="Q277" s="51">
        <f t="shared" si="80"/>
        <v>282590</v>
      </c>
      <c r="R277" s="55">
        <f t="shared" si="80"/>
        <v>121324255</v>
      </c>
    </row>
    <row r="278" spans="1:18" s="5" customFormat="1" ht="27.75" customHeight="1" x14ac:dyDescent="0.2">
      <c r="A278" s="11" t="s">
        <v>191</v>
      </c>
      <c r="B278" s="48"/>
      <c r="C278" s="48"/>
      <c r="D278" s="49" t="s">
        <v>28</v>
      </c>
      <c r="E278" s="50"/>
      <c r="F278" s="51"/>
      <c r="G278" s="51"/>
      <c r="H278" s="52"/>
      <c r="I278" s="53"/>
      <c r="J278" s="54">
        <f>K278+L278</f>
        <v>0</v>
      </c>
      <c r="K278" s="51"/>
      <c r="L278" s="51"/>
      <c r="M278" s="51"/>
      <c r="N278" s="51"/>
      <c r="O278" s="55"/>
      <c r="P278" s="85"/>
      <c r="Q278" s="74"/>
      <c r="R278" s="75"/>
    </row>
    <row r="279" spans="1:18" s="9" customFormat="1" ht="31.5" customHeight="1" x14ac:dyDescent="0.2">
      <c r="A279" s="7" t="s">
        <v>192</v>
      </c>
      <c r="B279" s="59" t="s">
        <v>121</v>
      </c>
      <c r="C279" s="59" t="s">
        <v>66</v>
      </c>
      <c r="D279" s="95" t="s">
        <v>70</v>
      </c>
      <c r="E279" s="61">
        <v>7890700</v>
      </c>
      <c r="F279" s="62">
        <f>G279</f>
        <v>0</v>
      </c>
      <c r="G279" s="62"/>
      <c r="H279" s="63">
        <f>E279+F279</f>
        <v>7890700</v>
      </c>
      <c r="I279" s="64">
        <v>1045200</v>
      </c>
      <c r="J279" s="61">
        <f>K279+L279</f>
        <v>0</v>
      </c>
      <c r="K279" s="62"/>
      <c r="L279" s="62"/>
      <c r="M279" s="62"/>
      <c r="N279" s="62"/>
      <c r="O279" s="63">
        <f>I279+J279</f>
        <v>1045200</v>
      </c>
      <c r="P279" s="65">
        <f t="shared" si="77"/>
        <v>8935900</v>
      </c>
      <c r="Q279" s="62">
        <f t="shared" si="78"/>
        <v>0</v>
      </c>
      <c r="R279" s="63">
        <f t="shared" si="79"/>
        <v>8935900</v>
      </c>
    </row>
    <row r="280" spans="1:18" s="9" customFormat="1" ht="18" hidden="1" customHeight="1" x14ac:dyDescent="0.2">
      <c r="A280" s="7"/>
      <c r="B280" s="59"/>
      <c r="C280" s="59"/>
      <c r="D280" s="60"/>
      <c r="E280" s="61">
        <v>0</v>
      </c>
      <c r="F280" s="62">
        <f>G280</f>
        <v>0</v>
      </c>
      <c r="G280" s="62"/>
      <c r="H280" s="63">
        <f t="shared" ref="H280:H307" si="81">E280+F280</f>
        <v>0</v>
      </c>
      <c r="I280" s="68">
        <v>0</v>
      </c>
      <c r="J280" s="61">
        <f>K280+L280</f>
        <v>0</v>
      </c>
      <c r="K280" s="62"/>
      <c r="L280" s="62"/>
      <c r="M280" s="62"/>
      <c r="N280" s="62"/>
      <c r="O280" s="63">
        <f t="shared" ref="O280:O314" si="82">I280+J280</f>
        <v>0</v>
      </c>
      <c r="P280" s="65">
        <f t="shared" si="77"/>
        <v>0</v>
      </c>
      <c r="Q280" s="62">
        <f t="shared" si="78"/>
        <v>0</v>
      </c>
      <c r="R280" s="63">
        <f t="shared" si="79"/>
        <v>0</v>
      </c>
    </row>
    <row r="281" spans="1:18" s="9" customFormat="1" ht="26.25" customHeight="1" x14ac:dyDescent="0.2">
      <c r="A281" s="7" t="s">
        <v>285</v>
      </c>
      <c r="B281" s="59" t="s">
        <v>49</v>
      </c>
      <c r="C281" s="59" t="s">
        <v>53</v>
      </c>
      <c r="D281" s="60" t="s">
        <v>286</v>
      </c>
      <c r="E281" s="61">
        <v>1563541</v>
      </c>
      <c r="F281" s="62">
        <f>G281</f>
        <v>175390</v>
      </c>
      <c r="G281" s="62">
        <f>G283+G284+G285+G286</f>
        <v>175390</v>
      </c>
      <c r="H281" s="63">
        <f t="shared" si="81"/>
        <v>1738931</v>
      </c>
      <c r="I281" s="64">
        <v>15000000</v>
      </c>
      <c r="J281" s="61">
        <f>K281+L281</f>
        <v>0</v>
      </c>
      <c r="K281" s="62"/>
      <c r="L281" s="62"/>
      <c r="M281" s="62"/>
      <c r="N281" s="62"/>
      <c r="O281" s="63">
        <f t="shared" si="82"/>
        <v>15000000</v>
      </c>
      <c r="P281" s="65">
        <f t="shared" si="77"/>
        <v>16563541</v>
      </c>
      <c r="Q281" s="62">
        <f t="shared" si="78"/>
        <v>175390</v>
      </c>
      <c r="R281" s="63">
        <f t="shared" si="79"/>
        <v>16738931</v>
      </c>
    </row>
    <row r="282" spans="1:18" s="9" customFormat="1" ht="15.75" customHeight="1" x14ac:dyDescent="0.2">
      <c r="A282" s="7"/>
      <c r="B282" s="59"/>
      <c r="C282" s="59"/>
      <c r="D282" s="60" t="s">
        <v>81</v>
      </c>
      <c r="E282" s="61"/>
      <c r="F282" s="62"/>
      <c r="G282" s="62"/>
      <c r="H282" s="63"/>
      <c r="I282" s="68">
        <v>0</v>
      </c>
      <c r="J282" s="61">
        <f t="shared" ref="J282:J289" si="83">K282+L282</f>
        <v>0</v>
      </c>
      <c r="K282" s="62"/>
      <c r="L282" s="62"/>
      <c r="M282" s="62"/>
      <c r="N282" s="62"/>
      <c r="O282" s="63">
        <f t="shared" si="82"/>
        <v>0</v>
      </c>
      <c r="P282" s="65"/>
      <c r="Q282" s="62"/>
      <c r="R282" s="63"/>
    </row>
    <row r="283" spans="1:18" s="9" customFormat="1" ht="25.5" customHeight="1" x14ac:dyDescent="0.2">
      <c r="A283" s="7"/>
      <c r="B283" s="59"/>
      <c r="C283" s="59"/>
      <c r="D283" s="66" t="s">
        <v>82</v>
      </c>
      <c r="E283" s="61">
        <v>450000</v>
      </c>
      <c r="F283" s="62">
        <f t="shared" ref="F283:F293" si="84">G283</f>
        <v>0</v>
      </c>
      <c r="G283" s="62"/>
      <c r="H283" s="63">
        <f t="shared" si="81"/>
        <v>450000</v>
      </c>
      <c r="I283" s="68">
        <v>0</v>
      </c>
      <c r="J283" s="61">
        <f t="shared" si="83"/>
        <v>0</v>
      </c>
      <c r="K283" s="62"/>
      <c r="L283" s="62"/>
      <c r="M283" s="62"/>
      <c r="N283" s="62"/>
      <c r="O283" s="63">
        <f t="shared" si="82"/>
        <v>0</v>
      </c>
      <c r="P283" s="65">
        <f t="shared" si="77"/>
        <v>450000</v>
      </c>
      <c r="Q283" s="62">
        <f t="shared" si="78"/>
        <v>0</v>
      </c>
      <c r="R283" s="63">
        <f t="shared" si="79"/>
        <v>450000</v>
      </c>
    </row>
    <row r="284" spans="1:18" s="9" customFormat="1" ht="45" customHeight="1" x14ac:dyDescent="0.2">
      <c r="A284" s="7"/>
      <c r="B284" s="59"/>
      <c r="C284" s="59"/>
      <c r="D284" s="60" t="s">
        <v>110</v>
      </c>
      <c r="E284" s="61">
        <v>1131399</v>
      </c>
      <c r="F284" s="62">
        <f t="shared" si="84"/>
        <v>175390</v>
      </c>
      <c r="G284" s="62">
        <f>-243700+560000-140910</f>
        <v>175390</v>
      </c>
      <c r="H284" s="63">
        <f t="shared" si="81"/>
        <v>1306789</v>
      </c>
      <c r="I284" s="68">
        <v>0</v>
      </c>
      <c r="J284" s="61">
        <f t="shared" si="83"/>
        <v>0</v>
      </c>
      <c r="K284" s="62"/>
      <c r="L284" s="62"/>
      <c r="M284" s="62"/>
      <c r="N284" s="62"/>
      <c r="O284" s="63">
        <f t="shared" si="82"/>
        <v>0</v>
      </c>
      <c r="P284" s="65">
        <f t="shared" si="77"/>
        <v>1131399</v>
      </c>
      <c r="Q284" s="62">
        <f t="shared" si="78"/>
        <v>175390</v>
      </c>
      <c r="R284" s="63">
        <f t="shared" si="79"/>
        <v>1306789</v>
      </c>
    </row>
    <row r="285" spans="1:18" s="9" customFormat="1" ht="36" customHeight="1" x14ac:dyDescent="0.2">
      <c r="A285" s="7"/>
      <c r="B285" s="59"/>
      <c r="C285" s="59"/>
      <c r="D285" s="60" t="s">
        <v>549</v>
      </c>
      <c r="E285" s="61">
        <v>142</v>
      </c>
      <c r="F285" s="62">
        <f t="shared" si="84"/>
        <v>0</v>
      </c>
      <c r="G285" s="62"/>
      <c r="H285" s="63">
        <f t="shared" si="81"/>
        <v>142</v>
      </c>
      <c r="I285" s="68">
        <v>0</v>
      </c>
      <c r="J285" s="61">
        <f t="shared" si="83"/>
        <v>0</v>
      </c>
      <c r="K285" s="62"/>
      <c r="L285" s="62"/>
      <c r="M285" s="62"/>
      <c r="N285" s="62"/>
      <c r="O285" s="63">
        <f t="shared" si="82"/>
        <v>0</v>
      </c>
      <c r="P285" s="65">
        <f t="shared" si="77"/>
        <v>142</v>
      </c>
      <c r="Q285" s="62">
        <f t="shared" si="78"/>
        <v>0</v>
      </c>
      <c r="R285" s="63">
        <f t="shared" si="79"/>
        <v>142</v>
      </c>
    </row>
    <row r="286" spans="1:18" s="9" customFormat="1" ht="30.75" customHeight="1" x14ac:dyDescent="0.2">
      <c r="A286" s="7"/>
      <c r="B286" s="59"/>
      <c r="C286" s="59"/>
      <c r="D286" s="116" t="s">
        <v>484</v>
      </c>
      <c r="E286" s="61">
        <v>0</v>
      </c>
      <c r="F286" s="62">
        <f t="shared" si="84"/>
        <v>0</v>
      </c>
      <c r="G286" s="62"/>
      <c r="H286" s="63">
        <f t="shared" si="81"/>
        <v>0</v>
      </c>
      <c r="I286" s="68">
        <v>0</v>
      </c>
      <c r="J286" s="61">
        <f t="shared" si="83"/>
        <v>0</v>
      </c>
      <c r="K286" s="62"/>
      <c r="L286" s="62"/>
      <c r="M286" s="62"/>
      <c r="N286" s="62"/>
      <c r="O286" s="63">
        <f t="shared" si="82"/>
        <v>0</v>
      </c>
      <c r="P286" s="65">
        <f t="shared" si="77"/>
        <v>0</v>
      </c>
      <c r="Q286" s="62">
        <f t="shared" si="78"/>
        <v>0</v>
      </c>
      <c r="R286" s="63">
        <f t="shared" si="79"/>
        <v>0</v>
      </c>
    </row>
    <row r="287" spans="1:18" s="9" customFormat="1" ht="18" customHeight="1" x14ac:dyDescent="0.2">
      <c r="A287" s="7" t="s">
        <v>193</v>
      </c>
      <c r="B287" s="59" t="s">
        <v>168</v>
      </c>
      <c r="C287" s="59" t="s">
        <v>170</v>
      </c>
      <c r="D287" s="60" t="s">
        <v>169</v>
      </c>
      <c r="E287" s="61">
        <v>19489220</v>
      </c>
      <c r="F287" s="62">
        <f t="shared" si="84"/>
        <v>148200</v>
      </c>
      <c r="G287" s="62">
        <f>47200+101000</f>
        <v>148200</v>
      </c>
      <c r="H287" s="63">
        <f t="shared" si="81"/>
        <v>19637420</v>
      </c>
      <c r="I287" s="68">
        <v>0</v>
      </c>
      <c r="J287" s="61">
        <f t="shared" si="83"/>
        <v>0</v>
      </c>
      <c r="K287" s="62"/>
      <c r="L287" s="62"/>
      <c r="M287" s="62"/>
      <c r="N287" s="62"/>
      <c r="O287" s="63">
        <f t="shared" si="82"/>
        <v>0</v>
      </c>
      <c r="P287" s="65">
        <f t="shared" si="77"/>
        <v>19489220</v>
      </c>
      <c r="Q287" s="62">
        <f t="shared" si="78"/>
        <v>148200</v>
      </c>
      <c r="R287" s="63">
        <f t="shared" si="79"/>
        <v>19637420</v>
      </c>
    </row>
    <row r="288" spans="1:18" s="9" customFormat="1" ht="15" customHeight="1" x14ac:dyDescent="0.2">
      <c r="A288" s="7" t="s">
        <v>282</v>
      </c>
      <c r="B288" s="59" t="s">
        <v>171</v>
      </c>
      <c r="C288" s="59" t="s">
        <v>53</v>
      </c>
      <c r="D288" s="60" t="s">
        <v>29</v>
      </c>
      <c r="E288" s="61">
        <f>564750-85000</f>
        <v>479750</v>
      </c>
      <c r="F288" s="62">
        <f t="shared" si="84"/>
        <v>0</v>
      </c>
      <c r="G288" s="62"/>
      <c r="H288" s="63">
        <f t="shared" si="81"/>
        <v>479750</v>
      </c>
      <c r="I288" s="68">
        <v>0</v>
      </c>
      <c r="J288" s="61">
        <f t="shared" si="83"/>
        <v>0</v>
      </c>
      <c r="K288" s="62"/>
      <c r="L288" s="62"/>
      <c r="M288" s="62"/>
      <c r="N288" s="62"/>
      <c r="O288" s="63">
        <f t="shared" si="82"/>
        <v>0</v>
      </c>
      <c r="P288" s="65">
        <f t="shared" si="77"/>
        <v>479750</v>
      </c>
      <c r="Q288" s="62">
        <f t="shared" si="78"/>
        <v>0</v>
      </c>
      <c r="R288" s="63">
        <f t="shared" si="79"/>
        <v>479750</v>
      </c>
    </row>
    <row r="289" spans="1:18" s="9" customFormat="1" ht="19.5" customHeight="1" x14ac:dyDescent="0.2">
      <c r="A289" s="7" t="s">
        <v>283</v>
      </c>
      <c r="B289" s="59" t="s">
        <v>174</v>
      </c>
      <c r="C289" s="59" t="s">
        <v>49</v>
      </c>
      <c r="D289" s="95" t="s">
        <v>52</v>
      </c>
      <c r="E289" s="61">
        <v>51879900</v>
      </c>
      <c r="F289" s="62">
        <f t="shared" si="84"/>
        <v>0</v>
      </c>
      <c r="G289" s="62"/>
      <c r="H289" s="63">
        <f t="shared" si="81"/>
        <v>51879900</v>
      </c>
      <c r="I289" s="68">
        <v>0</v>
      </c>
      <c r="J289" s="61">
        <f t="shared" si="83"/>
        <v>0</v>
      </c>
      <c r="K289" s="62"/>
      <c r="L289" s="62"/>
      <c r="M289" s="62"/>
      <c r="N289" s="62"/>
      <c r="O289" s="63">
        <f t="shared" si="82"/>
        <v>0</v>
      </c>
      <c r="P289" s="65">
        <f t="shared" si="77"/>
        <v>51879900</v>
      </c>
      <c r="Q289" s="62">
        <f t="shared" si="78"/>
        <v>0</v>
      </c>
      <c r="R289" s="63">
        <f t="shared" si="79"/>
        <v>51879900</v>
      </c>
    </row>
    <row r="290" spans="1:18" s="9" customFormat="1" ht="44.25" customHeight="1" x14ac:dyDescent="0.2">
      <c r="A290" s="7" t="s">
        <v>543</v>
      </c>
      <c r="B290" s="59" t="s">
        <v>545</v>
      </c>
      <c r="C290" s="59" t="s">
        <v>49</v>
      </c>
      <c r="D290" s="95" t="s">
        <v>544</v>
      </c>
      <c r="E290" s="61">
        <v>4500000</v>
      </c>
      <c r="F290" s="62">
        <f t="shared" si="84"/>
        <v>0</v>
      </c>
      <c r="G290" s="62"/>
      <c r="H290" s="63">
        <f t="shared" si="81"/>
        <v>4500000</v>
      </c>
      <c r="I290" s="68"/>
      <c r="J290" s="61"/>
      <c r="K290" s="62"/>
      <c r="L290" s="62"/>
      <c r="M290" s="62"/>
      <c r="N290" s="62"/>
      <c r="O290" s="63"/>
      <c r="P290" s="65">
        <f t="shared" si="77"/>
        <v>4500000</v>
      </c>
      <c r="Q290" s="62">
        <f t="shared" si="78"/>
        <v>0</v>
      </c>
      <c r="R290" s="63">
        <f t="shared" si="79"/>
        <v>4500000</v>
      </c>
    </row>
    <row r="291" spans="1:18" s="9" customFormat="1" ht="42" customHeight="1" x14ac:dyDescent="0.2">
      <c r="A291" s="7"/>
      <c r="B291" s="59"/>
      <c r="C291" s="59"/>
      <c r="D291" s="117" t="s">
        <v>546</v>
      </c>
      <c r="E291" s="61">
        <v>4000000</v>
      </c>
      <c r="F291" s="62">
        <f t="shared" si="84"/>
        <v>0</v>
      </c>
      <c r="G291" s="62"/>
      <c r="H291" s="63">
        <f t="shared" si="81"/>
        <v>4000000</v>
      </c>
      <c r="I291" s="68"/>
      <c r="J291" s="61"/>
      <c r="K291" s="62"/>
      <c r="L291" s="62"/>
      <c r="M291" s="62"/>
      <c r="N291" s="62"/>
      <c r="O291" s="63"/>
      <c r="P291" s="65">
        <f t="shared" si="77"/>
        <v>4000000</v>
      </c>
      <c r="Q291" s="62">
        <f t="shared" si="78"/>
        <v>0</v>
      </c>
      <c r="R291" s="63">
        <f t="shared" si="79"/>
        <v>4000000</v>
      </c>
    </row>
    <row r="292" spans="1:18" s="9" customFormat="1" ht="42" customHeight="1" x14ac:dyDescent="0.2">
      <c r="A292" s="7"/>
      <c r="B292" s="59"/>
      <c r="C292" s="59"/>
      <c r="D292" s="117" t="s">
        <v>547</v>
      </c>
      <c r="E292" s="61">
        <v>500000</v>
      </c>
      <c r="F292" s="62">
        <f t="shared" si="84"/>
        <v>0</v>
      </c>
      <c r="G292" s="62"/>
      <c r="H292" s="63">
        <f t="shared" si="81"/>
        <v>500000</v>
      </c>
      <c r="I292" s="68"/>
      <c r="J292" s="61"/>
      <c r="K292" s="62"/>
      <c r="L292" s="62"/>
      <c r="M292" s="62"/>
      <c r="N292" s="62"/>
      <c r="O292" s="63"/>
      <c r="P292" s="65">
        <f t="shared" si="77"/>
        <v>500000</v>
      </c>
      <c r="Q292" s="62">
        <f t="shared" si="78"/>
        <v>0</v>
      </c>
      <c r="R292" s="63">
        <f t="shared" si="79"/>
        <v>500000</v>
      </c>
    </row>
    <row r="293" spans="1:18" s="9" customFormat="1" ht="21.95" customHeight="1" x14ac:dyDescent="0.2">
      <c r="A293" s="7" t="s">
        <v>284</v>
      </c>
      <c r="B293" s="59" t="s">
        <v>172</v>
      </c>
      <c r="C293" s="59" t="s">
        <v>49</v>
      </c>
      <c r="D293" s="60" t="s">
        <v>173</v>
      </c>
      <c r="E293" s="61">
        <v>4029700</v>
      </c>
      <c r="F293" s="62">
        <f t="shared" si="84"/>
        <v>149000</v>
      </c>
      <c r="G293" s="62">
        <f>SUM(G295:G303)</f>
        <v>149000</v>
      </c>
      <c r="H293" s="63">
        <f>E293+F293</f>
        <v>4178700</v>
      </c>
      <c r="I293" s="64">
        <v>14363654</v>
      </c>
      <c r="J293" s="61">
        <f>K293+L293</f>
        <v>-390000</v>
      </c>
      <c r="K293" s="62"/>
      <c r="L293" s="62">
        <f>-590000+200000</f>
        <v>-390000</v>
      </c>
      <c r="M293" s="62">
        <f>-590000+200000</f>
        <v>-390000</v>
      </c>
      <c r="N293" s="62">
        <f>-590000</f>
        <v>-590000</v>
      </c>
      <c r="O293" s="63">
        <f t="shared" si="82"/>
        <v>13973654</v>
      </c>
      <c r="P293" s="65">
        <f t="shared" si="77"/>
        <v>18393354</v>
      </c>
      <c r="Q293" s="62">
        <f>F293+J293</f>
        <v>-241000</v>
      </c>
      <c r="R293" s="63">
        <f>H293+O293</f>
        <v>18152354</v>
      </c>
    </row>
    <row r="294" spans="1:18" s="9" customFormat="1" ht="11.25" customHeight="1" x14ac:dyDescent="0.2">
      <c r="A294" s="7"/>
      <c r="B294" s="59"/>
      <c r="C294" s="59"/>
      <c r="D294" s="60" t="s">
        <v>519</v>
      </c>
      <c r="E294" s="61"/>
      <c r="F294" s="62"/>
      <c r="G294" s="62"/>
      <c r="H294" s="63"/>
      <c r="I294" s="64"/>
      <c r="J294" s="61">
        <f t="shared" ref="J294:J303" si="85">K294+L294</f>
        <v>0</v>
      </c>
      <c r="K294" s="62"/>
      <c r="L294" s="62"/>
      <c r="M294" s="62"/>
      <c r="N294" s="62"/>
      <c r="O294" s="63"/>
      <c r="P294" s="65"/>
      <c r="Q294" s="62"/>
      <c r="R294" s="63"/>
    </row>
    <row r="295" spans="1:18" s="9" customFormat="1" ht="36" customHeight="1" x14ac:dyDescent="0.2">
      <c r="A295" s="7"/>
      <c r="B295" s="59"/>
      <c r="C295" s="59"/>
      <c r="D295" s="60" t="s">
        <v>465</v>
      </c>
      <c r="E295" s="61">
        <v>200000</v>
      </c>
      <c r="F295" s="62">
        <f>G295</f>
        <v>0</v>
      </c>
      <c r="G295" s="62"/>
      <c r="H295" s="63">
        <f t="shared" si="81"/>
        <v>200000</v>
      </c>
      <c r="I295" s="64">
        <v>0</v>
      </c>
      <c r="J295" s="61">
        <f t="shared" si="85"/>
        <v>0</v>
      </c>
      <c r="K295" s="62"/>
      <c r="L295" s="62"/>
      <c r="M295" s="62"/>
      <c r="N295" s="62"/>
      <c r="O295" s="63">
        <f t="shared" si="82"/>
        <v>0</v>
      </c>
      <c r="P295" s="65">
        <f t="shared" si="77"/>
        <v>200000</v>
      </c>
      <c r="Q295" s="62">
        <f t="shared" si="78"/>
        <v>0</v>
      </c>
      <c r="R295" s="63">
        <f t="shared" si="79"/>
        <v>200000</v>
      </c>
    </row>
    <row r="296" spans="1:18" s="9" customFormat="1" ht="36" customHeight="1" x14ac:dyDescent="0.2">
      <c r="A296" s="7"/>
      <c r="B296" s="59"/>
      <c r="C296" s="59"/>
      <c r="D296" s="60" t="s">
        <v>466</v>
      </c>
      <c r="E296" s="61">
        <v>400000</v>
      </c>
      <c r="F296" s="62">
        <f t="shared" ref="F296:F303" si="86">G296</f>
        <v>0</v>
      </c>
      <c r="G296" s="62"/>
      <c r="H296" s="63">
        <f t="shared" si="81"/>
        <v>400000</v>
      </c>
      <c r="I296" s="64">
        <v>0</v>
      </c>
      <c r="J296" s="61">
        <f t="shared" si="85"/>
        <v>0</v>
      </c>
      <c r="K296" s="62"/>
      <c r="L296" s="62"/>
      <c r="M296" s="62"/>
      <c r="N296" s="62"/>
      <c r="O296" s="63">
        <f t="shared" si="82"/>
        <v>0</v>
      </c>
      <c r="P296" s="65">
        <f t="shared" si="77"/>
        <v>400000</v>
      </c>
      <c r="Q296" s="62">
        <f t="shared" si="78"/>
        <v>0</v>
      </c>
      <c r="R296" s="63">
        <f t="shared" si="79"/>
        <v>400000</v>
      </c>
    </row>
    <row r="297" spans="1:18" s="9" customFormat="1" ht="51.75" customHeight="1" x14ac:dyDescent="0.2">
      <c r="A297" s="7"/>
      <c r="B297" s="59"/>
      <c r="C297" s="59"/>
      <c r="D297" s="60" t="s">
        <v>532</v>
      </c>
      <c r="E297" s="61">
        <v>0</v>
      </c>
      <c r="F297" s="62">
        <f t="shared" si="86"/>
        <v>0</v>
      </c>
      <c r="G297" s="62"/>
      <c r="H297" s="63">
        <f t="shared" si="81"/>
        <v>0</v>
      </c>
      <c r="I297" s="64">
        <v>887000</v>
      </c>
      <c r="J297" s="61">
        <f t="shared" si="85"/>
        <v>0</v>
      </c>
      <c r="K297" s="62"/>
      <c r="L297" s="62"/>
      <c r="M297" s="62"/>
      <c r="N297" s="62"/>
      <c r="O297" s="63">
        <f t="shared" si="82"/>
        <v>887000</v>
      </c>
      <c r="P297" s="65">
        <f t="shared" si="77"/>
        <v>887000</v>
      </c>
      <c r="Q297" s="62">
        <f t="shared" si="78"/>
        <v>0</v>
      </c>
      <c r="R297" s="63">
        <f t="shared" ref="R297:R302" si="87">H297+O297</f>
        <v>887000</v>
      </c>
    </row>
    <row r="298" spans="1:18" s="9" customFormat="1" ht="45" customHeight="1" x14ac:dyDescent="0.2">
      <c r="A298" s="7"/>
      <c r="B298" s="59"/>
      <c r="C298" s="59"/>
      <c r="D298" s="30" t="s">
        <v>561</v>
      </c>
      <c r="E298" s="61"/>
      <c r="F298" s="62"/>
      <c r="G298" s="62"/>
      <c r="H298" s="63"/>
      <c r="I298" s="64"/>
      <c r="J298" s="61">
        <f t="shared" si="85"/>
        <v>40000</v>
      </c>
      <c r="K298" s="62"/>
      <c r="L298" s="62">
        <f>40000</f>
        <v>40000</v>
      </c>
      <c r="M298" s="62">
        <f>40000</f>
        <v>40000</v>
      </c>
      <c r="N298" s="62">
        <f>40000</f>
        <v>40000</v>
      </c>
      <c r="O298" s="63">
        <f t="shared" si="82"/>
        <v>40000</v>
      </c>
      <c r="P298" s="65">
        <f t="shared" si="77"/>
        <v>0</v>
      </c>
      <c r="Q298" s="62">
        <f t="shared" si="78"/>
        <v>40000</v>
      </c>
      <c r="R298" s="63">
        <f t="shared" si="87"/>
        <v>40000</v>
      </c>
    </row>
    <row r="299" spans="1:18" s="9" customFormat="1" ht="62.25" customHeight="1" x14ac:dyDescent="0.2">
      <c r="A299" s="7"/>
      <c r="B299" s="59"/>
      <c r="C299" s="59"/>
      <c r="D299" s="60" t="s">
        <v>533</v>
      </c>
      <c r="E299" s="61">
        <v>0</v>
      </c>
      <c r="F299" s="62">
        <f t="shared" si="86"/>
        <v>0</v>
      </c>
      <c r="G299" s="62"/>
      <c r="H299" s="63">
        <f>E299+F299</f>
        <v>0</v>
      </c>
      <c r="I299" s="64">
        <v>2709168</v>
      </c>
      <c r="J299" s="61">
        <f t="shared" si="85"/>
        <v>0</v>
      </c>
      <c r="K299" s="62"/>
      <c r="L299" s="62"/>
      <c r="M299" s="62"/>
      <c r="N299" s="62"/>
      <c r="O299" s="63">
        <f t="shared" si="82"/>
        <v>2709168</v>
      </c>
      <c r="P299" s="65">
        <f t="shared" si="77"/>
        <v>2709168</v>
      </c>
      <c r="Q299" s="62">
        <f>F299+J299</f>
        <v>0</v>
      </c>
      <c r="R299" s="63">
        <f t="shared" si="87"/>
        <v>2709168</v>
      </c>
    </row>
    <row r="300" spans="1:18" s="9" customFormat="1" ht="44.25" customHeight="1" x14ac:dyDescent="0.2">
      <c r="A300" s="7"/>
      <c r="B300" s="59"/>
      <c r="C300" s="59"/>
      <c r="D300" s="60" t="s">
        <v>548</v>
      </c>
      <c r="E300" s="61">
        <v>200000</v>
      </c>
      <c r="F300" s="62">
        <f t="shared" si="86"/>
        <v>0</v>
      </c>
      <c r="G300" s="62"/>
      <c r="H300" s="63">
        <f>E300+F300</f>
        <v>200000</v>
      </c>
      <c r="I300" s="64"/>
      <c r="J300" s="61"/>
      <c r="K300" s="62"/>
      <c r="L300" s="62"/>
      <c r="M300" s="62"/>
      <c r="N300" s="62"/>
      <c r="O300" s="63"/>
      <c r="P300" s="65"/>
      <c r="Q300" s="62">
        <f>F300+J300</f>
        <v>0</v>
      </c>
      <c r="R300" s="63">
        <f t="shared" si="87"/>
        <v>200000</v>
      </c>
    </row>
    <row r="301" spans="1:18" s="9" customFormat="1" ht="36" customHeight="1" x14ac:dyDescent="0.2">
      <c r="A301" s="7"/>
      <c r="B301" s="59"/>
      <c r="C301" s="59"/>
      <c r="D301" s="139" t="s">
        <v>557</v>
      </c>
      <c r="E301" s="61"/>
      <c r="F301" s="62">
        <f t="shared" si="86"/>
        <v>100000</v>
      </c>
      <c r="G301" s="62">
        <f>100000</f>
        <v>100000</v>
      </c>
      <c r="H301" s="63">
        <f>E301+F301</f>
        <v>100000</v>
      </c>
      <c r="I301" s="64"/>
      <c r="J301" s="61"/>
      <c r="K301" s="62"/>
      <c r="L301" s="62"/>
      <c r="M301" s="62"/>
      <c r="N301" s="62"/>
      <c r="O301" s="63"/>
      <c r="P301" s="65"/>
      <c r="Q301" s="62">
        <f>F301+J301</f>
        <v>100000</v>
      </c>
      <c r="R301" s="63">
        <f t="shared" si="87"/>
        <v>100000</v>
      </c>
    </row>
    <row r="302" spans="1:18" s="9" customFormat="1" ht="36" customHeight="1" x14ac:dyDescent="0.2">
      <c r="A302" s="7"/>
      <c r="B302" s="59"/>
      <c r="C302" s="59"/>
      <c r="D302" s="139" t="s">
        <v>558</v>
      </c>
      <c r="E302" s="61"/>
      <c r="F302" s="62">
        <f t="shared" si="86"/>
        <v>49000</v>
      </c>
      <c r="G302" s="62">
        <f>49000</f>
        <v>49000</v>
      </c>
      <c r="H302" s="63">
        <f>E302+F302</f>
        <v>49000</v>
      </c>
      <c r="I302" s="64"/>
      <c r="J302" s="61"/>
      <c r="K302" s="62"/>
      <c r="L302" s="62"/>
      <c r="M302" s="62"/>
      <c r="N302" s="62"/>
      <c r="O302" s="63"/>
      <c r="P302" s="65"/>
      <c r="Q302" s="62">
        <f>F302+J302</f>
        <v>49000</v>
      </c>
      <c r="R302" s="63">
        <f t="shared" si="87"/>
        <v>49000</v>
      </c>
    </row>
    <row r="303" spans="1:18" s="9" customFormat="1" ht="36" x14ac:dyDescent="0.2">
      <c r="A303" s="7"/>
      <c r="B303" s="59"/>
      <c r="C303" s="59"/>
      <c r="D303" s="60" t="s">
        <v>459</v>
      </c>
      <c r="E303" s="61">
        <v>0</v>
      </c>
      <c r="F303" s="62">
        <f t="shared" si="86"/>
        <v>0</v>
      </c>
      <c r="G303" s="62"/>
      <c r="H303" s="63">
        <f t="shared" si="81"/>
        <v>0</v>
      </c>
      <c r="I303" s="64">
        <v>0</v>
      </c>
      <c r="J303" s="61">
        <f t="shared" si="85"/>
        <v>0</v>
      </c>
      <c r="K303" s="62"/>
      <c r="L303" s="62"/>
      <c r="M303" s="62"/>
      <c r="N303" s="62"/>
      <c r="O303" s="63">
        <f t="shared" si="82"/>
        <v>0</v>
      </c>
      <c r="P303" s="65">
        <f t="shared" si="77"/>
        <v>0</v>
      </c>
      <c r="Q303" s="62">
        <f t="shared" si="78"/>
        <v>0</v>
      </c>
      <c r="R303" s="63">
        <f t="shared" si="79"/>
        <v>0</v>
      </c>
    </row>
    <row r="304" spans="1:18" s="9" customFormat="1" ht="14.45" customHeight="1" x14ac:dyDescent="0.2">
      <c r="A304" s="7"/>
      <c r="B304" s="59"/>
      <c r="C304" s="59"/>
      <c r="D304" s="60" t="s">
        <v>324</v>
      </c>
      <c r="E304" s="61">
        <v>2175000</v>
      </c>
      <c r="F304" s="62">
        <f t="shared" ref="F304:F309" si="88">G304</f>
        <v>0</v>
      </c>
      <c r="G304" s="62"/>
      <c r="H304" s="63">
        <f t="shared" si="81"/>
        <v>2175000</v>
      </c>
      <c r="I304" s="64">
        <v>1450000</v>
      </c>
      <c r="J304" s="61">
        <f t="shared" ref="J304:J314" si="89">K304+L304</f>
        <v>0</v>
      </c>
      <c r="K304" s="62"/>
      <c r="L304" s="62">
        <f>-1450000+1450000</f>
        <v>0</v>
      </c>
      <c r="M304" s="62">
        <f>-1450000+1450000</f>
        <v>0</v>
      </c>
      <c r="N304" s="62">
        <f>-1450000</f>
        <v>-1450000</v>
      </c>
      <c r="O304" s="63">
        <f t="shared" si="82"/>
        <v>1450000</v>
      </c>
      <c r="P304" s="65">
        <f t="shared" si="77"/>
        <v>3625000</v>
      </c>
      <c r="Q304" s="62">
        <f t="shared" si="78"/>
        <v>0</v>
      </c>
      <c r="R304" s="63">
        <f t="shared" si="79"/>
        <v>3625000</v>
      </c>
    </row>
    <row r="305" spans="1:18" s="9" customFormat="1" ht="14.45" customHeight="1" x14ac:dyDescent="0.2">
      <c r="A305" s="7"/>
      <c r="B305" s="59"/>
      <c r="C305" s="59"/>
      <c r="D305" s="60" t="s">
        <v>325</v>
      </c>
      <c r="E305" s="61">
        <v>272000</v>
      </c>
      <c r="F305" s="62">
        <f t="shared" si="88"/>
        <v>0</v>
      </c>
      <c r="G305" s="62"/>
      <c r="H305" s="63">
        <f t="shared" si="81"/>
        <v>272000</v>
      </c>
      <c r="I305" s="64">
        <v>2850000</v>
      </c>
      <c r="J305" s="61">
        <f t="shared" si="89"/>
        <v>200000</v>
      </c>
      <c r="K305" s="62"/>
      <c r="L305" s="62">
        <f>200000</f>
        <v>200000</v>
      </c>
      <c r="M305" s="62">
        <f>200000</f>
        <v>200000</v>
      </c>
      <c r="N305" s="62">
        <f>200000</f>
        <v>200000</v>
      </c>
      <c r="O305" s="63">
        <f t="shared" si="82"/>
        <v>3050000</v>
      </c>
      <c r="P305" s="65">
        <f t="shared" si="77"/>
        <v>3122000</v>
      </c>
      <c r="Q305" s="62">
        <f t="shared" si="78"/>
        <v>200000</v>
      </c>
      <c r="R305" s="63">
        <f t="shared" si="79"/>
        <v>3322000</v>
      </c>
    </row>
    <row r="306" spans="1:18" s="9" customFormat="1" ht="14.45" customHeight="1" x14ac:dyDescent="0.2">
      <c r="A306" s="7"/>
      <c r="B306" s="59"/>
      <c r="C306" s="59"/>
      <c r="D306" s="60" t="s">
        <v>326</v>
      </c>
      <c r="E306" s="61">
        <v>225500</v>
      </c>
      <c r="F306" s="62">
        <f t="shared" si="88"/>
        <v>0</v>
      </c>
      <c r="G306" s="62"/>
      <c r="H306" s="63">
        <f t="shared" si="81"/>
        <v>225500</v>
      </c>
      <c r="I306" s="64">
        <v>2517000</v>
      </c>
      <c r="J306" s="61">
        <f t="shared" si="89"/>
        <v>820000</v>
      </c>
      <c r="K306" s="62"/>
      <c r="L306" s="62">
        <f>820000</f>
        <v>820000</v>
      </c>
      <c r="M306" s="62">
        <f>820000</f>
        <v>820000</v>
      </c>
      <c r="N306" s="62">
        <f>820000</f>
        <v>820000</v>
      </c>
      <c r="O306" s="63">
        <f t="shared" si="82"/>
        <v>3337000</v>
      </c>
      <c r="P306" s="65">
        <f t="shared" si="77"/>
        <v>2742500</v>
      </c>
      <c r="Q306" s="62">
        <f t="shared" si="78"/>
        <v>820000</v>
      </c>
      <c r="R306" s="63">
        <f t="shared" si="79"/>
        <v>3562500</v>
      </c>
    </row>
    <row r="307" spans="1:18" s="9" customFormat="1" ht="14.45" customHeight="1" x14ac:dyDescent="0.2">
      <c r="A307" s="7"/>
      <c r="B307" s="59"/>
      <c r="C307" s="59"/>
      <c r="D307" s="60" t="s">
        <v>327</v>
      </c>
      <c r="E307" s="61">
        <v>212500</v>
      </c>
      <c r="F307" s="62">
        <f t="shared" si="88"/>
        <v>0</v>
      </c>
      <c r="G307" s="62"/>
      <c r="H307" s="63">
        <f t="shared" si="81"/>
        <v>212500</v>
      </c>
      <c r="I307" s="64">
        <v>1870486</v>
      </c>
      <c r="J307" s="61">
        <f t="shared" si="89"/>
        <v>0</v>
      </c>
      <c r="K307" s="62"/>
      <c r="L307" s="62"/>
      <c r="M307" s="62"/>
      <c r="N307" s="62"/>
      <c r="O307" s="63">
        <f t="shared" si="82"/>
        <v>1870486</v>
      </c>
      <c r="P307" s="65">
        <f t="shared" si="77"/>
        <v>2082986</v>
      </c>
      <c r="Q307" s="62">
        <f t="shared" si="78"/>
        <v>0</v>
      </c>
      <c r="R307" s="63">
        <f t="shared" si="79"/>
        <v>2082986</v>
      </c>
    </row>
    <row r="308" spans="1:18" s="9" customFormat="1" ht="14.45" customHeight="1" x14ac:dyDescent="0.2">
      <c r="A308" s="7"/>
      <c r="B308" s="59"/>
      <c r="C308" s="59"/>
      <c r="D308" s="60" t="s">
        <v>328</v>
      </c>
      <c r="E308" s="61">
        <v>344700</v>
      </c>
      <c r="F308" s="62">
        <f t="shared" si="88"/>
        <v>0</v>
      </c>
      <c r="G308" s="62"/>
      <c r="H308" s="63">
        <f>E308+F308</f>
        <v>344700</v>
      </c>
      <c r="I308" s="64">
        <v>2080000</v>
      </c>
      <c r="J308" s="61">
        <f t="shared" si="89"/>
        <v>-1450000</v>
      </c>
      <c r="K308" s="62"/>
      <c r="L308" s="62">
        <f>-200000-1250000</f>
        <v>-1450000</v>
      </c>
      <c r="M308" s="62">
        <f>-200000-1250000</f>
        <v>-1450000</v>
      </c>
      <c r="N308" s="62">
        <f>-200000</f>
        <v>-200000</v>
      </c>
      <c r="O308" s="63">
        <f t="shared" si="82"/>
        <v>630000</v>
      </c>
      <c r="P308" s="65">
        <f t="shared" si="77"/>
        <v>2424700</v>
      </c>
      <c r="Q308" s="62">
        <f>F308+J308</f>
        <v>-1450000</v>
      </c>
      <c r="R308" s="63">
        <f t="shared" si="79"/>
        <v>974700</v>
      </c>
    </row>
    <row r="309" spans="1:18" s="9" customFormat="1" ht="37.5" customHeight="1" x14ac:dyDescent="0.2">
      <c r="A309" s="7" t="s">
        <v>485</v>
      </c>
      <c r="B309" s="59" t="s">
        <v>486</v>
      </c>
      <c r="C309" s="59" t="s">
        <v>49</v>
      </c>
      <c r="D309" s="60" t="s">
        <v>518</v>
      </c>
      <c r="E309" s="61">
        <v>300000</v>
      </c>
      <c r="F309" s="62">
        <f t="shared" si="88"/>
        <v>200000</v>
      </c>
      <c r="G309" s="62">
        <f>G311+G312+G313+G314</f>
        <v>200000</v>
      </c>
      <c r="H309" s="63">
        <f>E309+F309</f>
        <v>500000</v>
      </c>
      <c r="I309" s="64">
        <v>500000</v>
      </c>
      <c r="J309" s="61">
        <f t="shared" si="89"/>
        <v>0</v>
      </c>
      <c r="K309" s="62"/>
      <c r="L309" s="62"/>
      <c r="M309" s="62"/>
      <c r="N309" s="62"/>
      <c r="O309" s="63">
        <f t="shared" si="82"/>
        <v>500000</v>
      </c>
      <c r="P309" s="65">
        <f t="shared" si="77"/>
        <v>800000</v>
      </c>
      <c r="Q309" s="62">
        <f>F309+J309</f>
        <v>200000</v>
      </c>
      <c r="R309" s="63">
        <f t="shared" si="79"/>
        <v>1000000</v>
      </c>
    </row>
    <row r="310" spans="1:18" s="9" customFormat="1" ht="13.5" customHeight="1" x14ac:dyDescent="0.2">
      <c r="A310" s="7"/>
      <c r="B310" s="59"/>
      <c r="C310" s="59"/>
      <c r="D310" s="60" t="s">
        <v>302</v>
      </c>
      <c r="E310" s="61"/>
      <c r="F310" s="62"/>
      <c r="G310" s="62"/>
      <c r="H310" s="63"/>
      <c r="I310" s="64">
        <v>0</v>
      </c>
      <c r="J310" s="61">
        <f t="shared" si="89"/>
        <v>0</v>
      </c>
      <c r="K310" s="62"/>
      <c r="L310" s="62"/>
      <c r="M310" s="62"/>
      <c r="N310" s="62"/>
      <c r="O310" s="63">
        <f t="shared" si="82"/>
        <v>0</v>
      </c>
      <c r="P310" s="65">
        <f t="shared" si="77"/>
        <v>0</v>
      </c>
      <c r="Q310" s="62"/>
      <c r="R310" s="63"/>
    </row>
    <row r="311" spans="1:18" s="9" customFormat="1" ht="66.75" customHeight="1" x14ac:dyDescent="0.2">
      <c r="A311" s="7"/>
      <c r="B311" s="59"/>
      <c r="C311" s="59"/>
      <c r="D311" s="60" t="s">
        <v>489</v>
      </c>
      <c r="E311" s="61">
        <v>80000</v>
      </c>
      <c r="F311" s="62">
        <f>G311</f>
        <v>0</v>
      </c>
      <c r="G311" s="62"/>
      <c r="H311" s="63">
        <f>E311+F311</f>
        <v>80000</v>
      </c>
      <c r="I311" s="64">
        <v>0</v>
      </c>
      <c r="J311" s="61">
        <f t="shared" si="89"/>
        <v>0</v>
      </c>
      <c r="K311" s="62"/>
      <c r="L311" s="62"/>
      <c r="M311" s="62"/>
      <c r="N311" s="62"/>
      <c r="O311" s="63">
        <f t="shared" si="82"/>
        <v>0</v>
      </c>
      <c r="P311" s="65">
        <f t="shared" si="77"/>
        <v>80000</v>
      </c>
      <c r="Q311" s="62">
        <f t="shared" si="78"/>
        <v>0</v>
      </c>
      <c r="R311" s="63">
        <f t="shared" si="79"/>
        <v>80000</v>
      </c>
    </row>
    <row r="312" spans="1:18" s="9" customFormat="1" ht="66.75" customHeight="1" x14ac:dyDescent="0.2">
      <c r="A312" s="7"/>
      <c r="B312" s="59"/>
      <c r="C312" s="59"/>
      <c r="D312" s="139" t="s">
        <v>556</v>
      </c>
      <c r="E312" s="61"/>
      <c r="F312" s="62">
        <f>G312</f>
        <v>200000</v>
      </c>
      <c r="G312" s="62">
        <f>200000</f>
        <v>200000</v>
      </c>
      <c r="H312" s="63">
        <f>E312+F312</f>
        <v>200000</v>
      </c>
      <c r="I312" s="64">
        <v>0</v>
      </c>
      <c r="J312" s="61">
        <f>K312+L312</f>
        <v>0</v>
      </c>
      <c r="K312" s="62"/>
      <c r="L312" s="62"/>
      <c r="M312" s="62"/>
      <c r="N312" s="62"/>
      <c r="O312" s="63">
        <f>I312+J312</f>
        <v>0</v>
      </c>
      <c r="P312" s="65">
        <f>E312+I312</f>
        <v>0</v>
      </c>
      <c r="Q312" s="62">
        <f>F312+J312</f>
        <v>200000</v>
      </c>
      <c r="R312" s="63">
        <f>H312+O312</f>
        <v>200000</v>
      </c>
    </row>
    <row r="313" spans="1:18" s="9" customFormat="1" ht="44.25" customHeight="1" x14ac:dyDescent="0.2">
      <c r="A313" s="25"/>
      <c r="B313" s="118"/>
      <c r="C313" s="118"/>
      <c r="D313" s="140" t="s">
        <v>534</v>
      </c>
      <c r="E313" s="119"/>
      <c r="F313" s="120"/>
      <c r="G313" s="120"/>
      <c r="H313" s="121"/>
      <c r="I313" s="122">
        <v>500000</v>
      </c>
      <c r="J313" s="61">
        <f t="shared" si="89"/>
        <v>0</v>
      </c>
      <c r="K313" s="120"/>
      <c r="L313" s="62"/>
      <c r="M313" s="62"/>
      <c r="N313" s="62"/>
      <c r="O313" s="63">
        <f t="shared" si="82"/>
        <v>500000</v>
      </c>
      <c r="P313" s="65">
        <f t="shared" si="77"/>
        <v>500000</v>
      </c>
      <c r="Q313" s="62">
        <f t="shared" si="78"/>
        <v>0</v>
      </c>
      <c r="R313" s="63">
        <f t="shared" si="79"/>
        <v>500000</v>
      </c>
    </row>
    <row r="314" spans="1:18" s="9" customFormat="1" ht="107.25" customHeight="1" thickBot="1" x14ac:dyDescent="0.25">
      <c r="A314" s="25"/>
      <c r="B314" s="118"/>
      <c r="C314" s="118"/>
      <c r="D314" s="140" t="s">
        <v>559</v>
      </c>
      <c r="E314" s="123">
        <v>220000</v>
      </c>
      <c r="F314" s="124">
        <f>G314</f>
        <v>0</v>
      </c>
      <c r="G314" s="124"/>
      <c r="H314" s="125">
        <f>E314+F314</f>
        <v>220000</v>
      </c>
      <c r="I314" s="126">
        <v>0</v>
      </c>
      <c r="J314" s="123">
        <f t="shared" si="89"/>
        <v>0</v>
      </c>
      <c r="K314" s="124"/>
      <c r="L314" s="127"/>
      <c r="M314" s="124"/>
      <c r="N314" s="124"/>
      <c r="O314" s="125">
        <f t="shared" si="82"/>
        <v>0</v>
      </c>
      <c r="P314" s="65">
        <f t="shared" si="77"/>
        <v>220000</v>
      </c>
      <c r="Q314" s="120">
        <f>F314+J314</f>
        <v>0</v>
      </c>
      <c r="R314" s="121">
        <f>H314+O314</f>
        <v>220000</v>
      </c>
    </row>
    <row r="315" spans="1:18" s="5" customFormat="1" ht="19.5" customHeight="1" thickBot="1" x14ac:dyDescent="0.25">
      <c r="A315" s="26"/>
      <c r="B315" s="144" t="s">
        <v>4</v>
      </c>
      <c r="C315" s="145"/>
      <c r="D315" s="146"/>
      <c r="E315" s="128">
        <v>2274665146.3400002</v>
      </c>
      <c r="F315" s="129">
        <f>F9+F48+F85+F109+F159+F164+F197+F271+F211+F235+F245+F254+F277+F181</f>
        <v>86300495.299999997</v>
      </c>
      <c r="G315" s="129">
        <f>G9+G48+G85+G109+G159+G164+G197+G271+G211+G235+G245+G254+G277+G181</f>
        <v>86300495.299999997</v>
      </c>
      <c r="H315" s="130">
        <f>H9+H48+H85+H109+H159+H164+H197+H271+H211+H235+H245+H254+H277+H181</f>
        <v>2360960641.1399999</v>
      </c>
      <c r="I315" s="128">
        <v>1493262118</v>
      </c>
      <c r="J315" s="129">
        <f t="shared" ref="J315:O315" si="90">J9+J48+J85+J109+J159+J164+J197+J271+J211+J235+J245+J254+J277+J181</f>
        <v>-78395539</v>
      </c>
      <c r="K315" s="129">
        <f t="shared" si="90"/>
        <v>1272119</v>
      </c>
      <c r="L315" s="129">
        <f t="shared" si="90"/>
        <v>-79667658</v>
      </c>
      <c r="M315" s="129">
        <f t="shared" si="90"/>
        <v>-78606539</v>
      </c>
      <c r="N315" s="129">
        <f t="shared" si="90"/>
        <v>-88559539</v>
      </c>
      <c r="O315" s="130">
        <f t="shared" si="90"/>
        <v>1414866579</v>
      </c>
      <c r="P315" s="131">
        <f>E315+I315</f>
        <v>3767927264.3400002</v>
      </c>
      <c r="Q315" s="132">
        <f>F315+J315</f>
        <v>7904956.299999997</v>
      </c>
      <c r="R315" s="133">
        <f>H315+O315</f>
        <v>3775827220.1399999</v>
      </c>
    </row>
    <row r="316" spans="1:18" s="2" customFormat="1" ht="19.5" customHeight="1" x14ac:dyDescent="0.2">
      <c r="A316" s="1"/>
      <c r="B316" s="32"/>
      <c r="C316" s="32"/>
      <c r="D316" s="33"/>
      <c r="E316" s="134"/>
      <c r="F316" s="134"/>
      <c r="G316" s="134"/>
      <c r="H316" s="135"/>
      <c r="I316" s="34"/>
      <c r="J316" s="34"/>
      <c r="K316" s="134"/>
      <c r="L316" s="34"/>
      <c r="M316" s="134"/>
      <c r="N316" s="136"/>
      <c r="O316" s="136"/>
      <c r="P316" s="34"/>
      <c r="Q316" s="34"/>
      <c r="R316" s="34"/>
    </row>
    <row r="317" spans="1:18" s="2" customFormat="1" ht="15.75" x14ac:dyDescent="0.2">
      <c r="A317" s="1"/>
      <c r="B317" s="147" t="s">
        <v>553</v>
      </c>
      <c r="C317" s="147"/>
      <c r="D317" s="147"/>
      <c r="E317" s="147"/>
      <c r="F317" s="147"/>
      <c r="G317" s="147"/>
      <c r="H317" s="147"/>
      <c r="I317" s="147"/>
      <c r="J317" s="147"/>
      <c r="K317" s="147"/>
      <c r="L317" s="148" t="s">
        <v>517</v>
      </c>
      <c r="M317" s="148"/>
      <c r="N317" s="148"/>
      <c r="O317" s="148"/>
      <c r="P317" s="148"/>
      <c r="Q317" s="34"/>
      <c r="R317" s="34"/>
    </row>
    <row r="318" spans="1:18" ht="11.45" customHeight="1" x14ac:dyDescent="0.2">
      <c r="B318" s="32"/>
      <c r="C318" s="32"/>
      <c r="D318" s="137"/>
      <c r="E318" s="136"/>
      <c r="F318" s="136"/>
      <c r="G318" s="136"/>
      <c r="H318" s="34"/>
      <c r="I318" s="34"/>
      <c r="J318" s="134"/>
      <c r="K318" s="34"/>
      <c r="L318" s="34"/>
      <c r="M318" s="34"/>
      <c r="N318" s="34"/>
      <c r="O318" s="34"/>
      <c r="P318" s="34"/>
      <c r="Q318" s="34"/>
      <c r="R318" s="34"/>
    </row>
    <row r="319" spans="1:18" ht="24" customHeight="1" x14ac:dyDescent="0.2">
      <c r="B319" s="32"/>
      <c r="C319" s="32"/>
      <c r="D319" s="137"/>
      <c r="E319" s="134"/>
      <c r="F319" s="134"/>
      <c r="G319" s="134"/>
      <c r="H319" s="141"/>
      <c r="I319" s="134"/>
      <c r="J319" s="134"/>
      <c r="K319" s="34"/>
      <c r="L319" s="134"/>
      <c r="M319" s="34"/>
      <c r="N319" s="136"/>
      <c r="O319" s="136"/>
      <c r="P319" s="34"/>
      <c r="Q319" s="34"/>
      <c r="R319" s="34"/>
    </row>
    <row r="320" spans="1:18" ht="11.45" customHeight="1" x14ac:dyDescent="0.2">
      <c r="B320" s="32"/>
      <c r="C320" s="32"/>
      <c r="D320" s="137"/>
      <c r="E320" s="138"/>
      <c r="F320" s="138"/>
      <c r="G320" s="138"/>
      <c r="H320" s="134"/>
      <c r="I320" s="34"/>
      <c r="J320" s="34"/>
      <c r="K320" s="134"/>
      <c r="L320" s="134"/>
      <c r="M320" s="34"/>
      <c r="N320" s="34"/>
      <c r="O320" s="34"/>
      <c r="P320" s="34"/>
      <c r="Q320" s="34"/>
      <c r="R320" s="34"/>
    </row>
    <row r="321" spans="2:18" ht="11.45" customHeight="1" x14ac:dyDescent="0.2">
      <c r="B321" s="32"/>
      <c r="C321" s="32"/>
      <c r="D321" s="137"/>
      <c r="E321" s="136"/>
      <c r="F321" s="136"/>
      <c r="G321" s="136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</row>
    <row r="322" spans="2:18" ht="11.45" customHeight="1" x14ac:dyDescent="0.2">
      <c r="B322" s="32"/>
      <c r="C322" s="32"/>
      <c r="D322" s="137"/>
      <c r="E322" s="136"/>
      <c r="F322" s="136"/>
      <c r="G322" s="136"/>
      <c r="H322" s="34"/>
      <c r="I322" s="34"/>
      <c r="J322" s="34"/>
      <c r="K322" s="134"/>
      <c r="L322" s="34"/>
      <c r="M322" s="34"/>
      <c r="N322" s="34"/>
      <c r="O322" s="34"/>
      <c r="P322" s="34"/>
      <c r="Q322" s="34"/>
      <c r="R322" s="34"/>
    </row>
    <row r="323" spans="2:18" ht="11.45" customHeight="1" x14ac:dyDescent="0.2">
      <c r="B323" s="32"/>
      <c r="C323" s="32"/>
      <c r="D323" s="137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</row>
    <row r="324" spans="2:18" ht="11.45" customHeight="1" x14ac:dyDescent="0.2">
      <c r="B324" s="32"/>
      <c r="C324" s="32"/>
      <c r="D324" s="137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</row>
    <row r="325" spans="2:18" ht="11.45" customHeight="1" x14ac:dyDescent="0.2">
      <c r="B325" s="32"/>
      <c r="C325" s="32"/>
      <c r="D325" s="137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</row>
    <row r="326" spans="2:18" ht="11.45" customHeight="1" x14ac:dyDescent="0.2">
      <c r="B326" s="32"/>
      <c r="C326" s="32"/>
      <c r="D326" s="137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</row>
    <row r="327" spans="2:18" ht="11.45" customHeight="1" x14ac:dyDescent="0.2">
      <c r="B327" s="32"/>
      <c r="C327" s="32"/>
      <c r="D327" s="137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</row>
    <row r="328" spans="2:18" ht="11.45" customHeight="1" x14ac:dyDescent="0.2">
      <c r="B328" s="32"/>
      <c r="C328" s="32"/>
      <c r="D328" s="137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</row>
    <row r="329" spans="2:18" ht="11.45" customHeight="1" x14ac:dyDescent="0.2">
      <c r="B329" s="32"/>
      <c r="C329" s="32"/>
      <c r="D329" s="137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</row>
    <row r="330" spans="2:18" ht="11.45" customHeight="1" x14ac:dyDescent="0.2">
      <c r="B330" s="32"/>
      <c r="C330" s="32"/>
      <c r="D330" s="137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</row>
    <row r="331" spans="2:18" ht="11.45" customHeight="1" x14ac:dyDescent="0.2">
      <c r="B331" s="32"/>
      <c r="C331" s="32"/>
      <c r="D331" s="137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</row>
    <row r="332" spans="2:18" ht="11.45" customHeight="1" x14ac:dyDescent="0.2">
      <c r="B332" s="32"/>
      <c r="C332" s="32"/>
      <c r="D332" s="137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</row>
    <row r="333" spans="2:18" ht="11.45" customHeight="1" x14ac:dyDescent="0.2">
      <c r="B333" s="32"/>
      <c r="C333" s="32"/>
      <c r="D333" s="137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</row>
  </sheetData>
  <sheetProtection formatCells="0" formatColumns="0" formatRows="0" insertColumns="0" insertRows="0" insertHyperlinks="0" deleteColumns="0" deleteRows="0" sort="0" autoFilter="0" pivotTables="0"/>
  <mergeCells count="26">
    <mergeCell ref="A5:A8"/>
    <mergeCell ref="B5:B8"/>
    <mergeCell ref="D5:D8"/>
    <mergeCell ref="H6:H8"/>
    <mergeCell ref="C5:C8"/>
    <mergeCell ref="E5:H5"/>
    <mergeCell ref="B1:K1"/>
    <mergeCell ref="M1:P1"/>
    <mergeCell ref="B2:K2"/>
    <mergeCell ref="M2:P2"/>
    <mergeCell ref="O6:O8"/>
    <mergeCell ref="I5:O5"/>
    <mergeCell ref="J7:J8"/>
    <mergeCell ref="K7:K8"/>
    <mergeCell ref="M7:N7"/>
    <mergeCell ref="J6:N6"/>
    <mergeCell ref="B315:D315"/>
    <mergeCell ref="B317:K317"/>
    <mergeCell ref="L317:P317"/>
    <mergeCell ref="G7:G8"/>
    <mergeCell ref="L7:L8"/>
    <mergeCell ref="E6:E8"/>
    <mergeCell ref="F6:G6"/>
    <mergeCell ref="F7:F8"/>
    <mergeCell ref="P5:R7"/>
    <mergeCell ref="I6:I8"/>
  </mergeCells>
  <phoneticPr fontId="10" type="noConversion"/>
  <printOptions horizontalCentered="1"/>
  <pageMargins left="0" right="0" top="1.3779527559055118" bottom="0" header="0.51181102362204722" footer="0.51181102362204722"/>
  <pageSetup paperSize="9" scale="57" fitToHeight="30" orientation="landscape" r:id="rId1"/>
  <ignoredErrors>
    <ignoredError sqref="J83 J69 J67 J158 J155 J105:J106 J124:J130 J78:J80 J73:J76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TDSheet</vt:lpstr>
      <vt:lpstr>TDSheet!Заголовки_для_печати</vt:lpstr>
      <vt:lpstr>TDSheet!Область_печати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Motruk</dc:creator>
  <cp:lastModifiedBy>User</cp:lastModifiedBy>
  <cp:lastPrinted>2018-11-20T14:12:23Z</cp:lastPrinted>
  <dcterms:created xsi:type="dcterms:W3CDTF">2016-12-02T14:24:23Z</dcterms:created>
  <dcterms:modified xsi:type="dcterms:W3CDTF">2018-11-27T08:35:01Z</dcterms:modified>
</cp:coreProperties>
</file>