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 25.09.19\"/>
    </mc:Choice>
  </mc:AlternateContent>
  <bookViews>
    <workbookView xWindow="0" yWindow="0" windowWidth="28800" windowHeight="13125"/>
  </bookViews>
  <sheets>
    <sheet name="Лист1" sheetId="6" r:id="rId1"/>
  </sheets>
  <definedNames>
    <definedName name="_xlnm.Print_Titles" localSheetId="0">Лист1!$7:$7</definedName>
    <definedName name="_xlnm.Print_Area" localSheetId="0">Лист1!$A$1:$H$830</definedName>
  </definedNames>
  <calcPr calcId="152511"/>
</workbook>
</file>

<file path=xl/calcChain.xml><?xml version="1.0" encoding="utf-8"?>
<calcChain xmlns="http://schemas.openxmlformats.org/spreadsheetml/2006/main">
  <c r="G356" i="6" l="1"/>
  <c r="G351" i="6"/>
  <c r="G347" i="6"/>
  <c r="G403" i="6"/>
  <c r="H403" i="6" s="1"/>
  <c r="G391" i="6"/>
  <c r="G311" i="6"/>
  <c r="G327" i="6"/>
  <c r="H327" i="6" s="1"/>
  <c r="G32" i="6"/>
  <c r="G30" i="6"/>
  <c r="G42" i="6"/>
  <c r="H42" i="6" s="1"/>
  <c r="H43" i="6"/>
  <c r="G43" i="6"/>
  <c r="G25" i="6"/>
  <c r="H25" i="6" s="1"/>
  <c r="G24" i="6"/>
  <c r="H24" i="6" s="1"/>
  <c r="G23" i="6"/>
  <c r="F23" i="6"/>
  <c r="G33" i="6"/>
  <c r="G530" i="6"/>
  <c r="G524" i="6" s="1"/>
  <c r="H524" i="6" s="1"/>
  <c r="G116" i="6"/>
  <c r="G115" i="6" s="1"/>
  <c r="G113" i="6" s="1"/>
  <c r="G763" i="6"/>
  <c r="H763" i="6"/>
  <c r="G762" i="6"/>
  <c r="H762" i="6"/>
  <c r="F762" i="6"/>
  <c r="G447" i="6"/>
  <c r="G446" i="6"/>
  <c r="G77" i="6"/>
  <c r="G44" i="6"/>
  <c r="H44" i="6"/>
  <c r="G820" i="6"/>
  <c r="H772" i="6"/>
  <c r="G773" i="6"/>
  <c r="G772" i="6"/>
  <c r="G795" i="6"/>
  <c r="H795" i="6" s="1"/>
  <c r="G808" i="6"/>
  <c r="G769" i="6"/>
  <c r="G801" i="6"/>
  <c r="G800" i="6"/>
  <c r="G802" i="6"/>
  <c r="H802" i="6" s="1"/>
  <c r="G799" i="6"/>
  <c r="G776" i="6"/>
  <c r="G456" i="6"/>
  <c r="H380" i="6"/>
  <c r="G380" i="6"/>
  <c r="G695" i="6"/>
  <c r="G563" i="6"/>
  <c r="H563" i="6" s="1"/>
  <c r="G452" i="6"/>
  <c r="G454" i="6"/>
  <c r="G310" i="6"/>
  <c r="G258" i="6"/>
  <c r="G254" i="6"/>
  <c r="G445" i="6"/>
  <c r="G194" i="6"/>
  <c r="G215" i="6"/>
  <c r="G217" i="6"/>
  <c r="G219" i="6"/>
  <c r="G212" i="6"/>
  <c r="H212" i="6" s="1"/>
  <c r="G632" i="6"/>
  <c r="G631" i="6" s="1"/>
  <c r="F631" i="6"/>
  <c r="G674" i="6"/>
  <c r="H674" i="6" s="1"/>
  <c r="G645" i="6"/>
  <c r="H645" i="6" s="1"/>
  <c r="G644" i="6"/>
  <c r="G657" i="6"/>
  <c r="G658" i="6"/>
  <c r="G633" i="6" s="1"/>
  <c r="G648" i="6"/>
  <c r="G666" i="6"/>
  <c r="H666" i="6"/>
  <c r="G665" i="6"/>
  <c r="H665" i="6" s="1"/>
  <c r="G599" i="6"/>
  <c r="G600" i="6"/>
  <c r="G515" i="6"/>
  <c r="G536" i="6"/>
  <c r="H536" i="6" s="1"/>
  <c r="G478" i="6"/>
  <c r="H478" i="6"/>
  <c r="G387" i="6"/>
  <c r="G457" i="6"/>
  <c r="H457" i="6" s="1"/>
  <c r="G363" i="6"/>
  <c r="G401" i="6"/>
  <c r="G337" i="6"/>
  <c r="G394" i="6"/>
  <c r="H394" i="6" s="1"/>
  <c r="G448" i="6"/>
  <c r="G392" i="6"/>
  <c r="G432" i="6"/>
  <c r="H432" i="6" s="1"/>
  <c r="G153" i="6"/>
  <c r="H153" i="6" s="1"/>
  <c r="G158" i="6"/>
  <c r="H632" i="6"/>
  <c r="H631" i="6"/>
  <c r="G739" i="6"/>
  <c r="G747" i="6"/>
  <c r="G748" i="6"/>
  <c r="F745" i="6"/>
  <c r="H747" i="6"/>
  <c r="H739" i="6"/>
  <c r="H740" i="6"/>
  <c r="H741" i="6"/>
  <c r="G218" i="6"/>
  <c r="F218" i="6"/>
  <c r="H218" i="6" s="1"/>
  <c r="F710" i="6"/>
  <c r="H710" i="6"/>
  <c r="G85" i="6"/>
  <c r="G84" i="6" s="1"/>
  <c r="G50" i="6"/>
  <c r="G579" i="6"/>
  <c r="G38" i="6"/>
  <c r="H38" i="6"/>
  <c r="G704" i="6"/>
  <c r="G731" i="6"/>
  <c r="G249" i="6"/>
  <c r="G592" i="6"/>
  <c r="G373" i="6"/>
  <c r="G83" i="6"/>
  <c r="H83" i="6"/>
  <c r="G82" i="6"/>
  <c r="G81" i="6"/>
  <c r="G94" i="6"/>
  <c r="G14" i="6"/>
  <c r="H14" i="6"/>
  <c r="F13" i="6"/>
  <c r="H13" i="6" s="1"/>
  <c r="G52" i="6"/>
  <c r="G51" i="6"/>
  <c r="G98" i="6"/>
  <c r="H98" i="6" s="1"/>
  <c r="F97" i="6"/>
  <c r="F95" i="6"/>
  <c r="H96" i="6"/>
  <c r="G65" i="6"/>
  <c r="H65" i="6"/>
  <c r="G48" i="6"/>
  <c r="H48" i="6" s="1"/>
  <c r="G41" i="6"/>
  <c r="G12" i="6"/>
  <c r="H12" i="6"/>
  <c r="F11" i="6"/>
  <c r="G18" i="6"/>
  <c r="F108" i="6"/>
  <c r="F106" i="6" s="1"/>
  <c r="G110" i="6"/>
  <c r="H110" i="6" s="1"/>
  <c r="G60" i="6"/>
  <c r="G47" i="6"/>
  <c r="H47" i="6"/>
  <c r="G28" i="6"/>
  <c r="F82" i="6"/>
  <c r="H82" i="6" s="1"/>
  <c r="G13" i="6"/>
  <c r="G11" i="6"/>
  <c r="G404" i="6"/>
  <c r="G9" i="6"/>
  <c r="G326" i="6"/>
  <c r="G214" i="6"/>
  <c r="H214" i="6"/>
  <c r="G594" i="6"/>
  <c r="G418" i="6"/>
  <c r="G255" i="6"/>
  <c r="G252" i="6" s="1"/>
  <c r="G250" i="6" s="1"/>
  <c r="G229" i="6"/>
  <c r="G213" i="6"/>
  <c r="G761" i="6"/>
  <c r="G824" i="6"/>
  <c r="G823" i="6" s="1"/>
  <c r="H824" i="6"/>
  <c r="F823" i="6"/>
  <c r="F821" i="6" s="1"/>
  <c r="G737" i="6"/>
  <c r="H737" i="6" s="1"/>
  <c r="G736" i="6"/>
  <c r="H736" i="6"/>
  <c r="G818" i="6"/>
  <c r="G809" i="6"/>
  <c r="G790" i="6"/>
  <c r="H790" i="6"/>
  <c r="G789" i="6"/>
  <c r="H789" i="6" s="1"/>
  <c r="G788" i="6"/>
  <c r="H788" i="6"/>
  <c r="G787" i="6"/>
  <c r="H787" i="6" s="1"/>
  <c r="G786" i="6"/>
  <c r="H786" i="6"/>
  <c r="G785" i="6"/>
  <c r="H785" i="6" s="1"/>
  <c r="G784" i="6"/>
  <c r="H784" i="6"/>
  <c r="G783" i="6"/>
  <c r="H783" i="6" s="1"/>
  <c r="G782" i="6"/>
  <c r="H782" i="6"/>
  <c r="G781" i="6"/>
  <c r="H781" i="6" s="1"/>
  <c r="G780" i="6"/>
  <c r="H780" i="6"/>
  <c r="G779" i="6"/>
  <c r="H779" i="6" s="1"/>
  <c r="G778" i="6"/>
  <c r="H778" i="6"/>
  <c r="G811" i="6"/>
  <c r="H811" i="6" s="1"/>
  <c r="G798" i="6"/>
  <c r="G227" i="6"/>
  <c r="G322" i="6"/>
  <c r="H322" i="6" s="1"/>
  <c r="G558" i="6"/>
  <c r="G607" i="6"/>
  <c r="G625" i="6"/>
  <c r="G506" i="6"/>
  <c r="G697" i="6"/>
  <c r="G534" i="6"/>
  <c r="G450" i="6"/>
  <c r="G532" i="6"/>
  <c r="F603" i="6"/>
  <c r="G604" i="6"/>
  <c r="H604" i="6"/>
  <c r="G617" i="6"/>
  <c r="G598" i="6"/>
  <c r="G203" i="6"/>
  <c r="G184" i="6"/>
  <c r="G514" i="6"/>
  <c r="G528" i="6"/>
  <c r="G672" i="6"/>
  <c r="G378" i="6"/>
  <c r="G335" i="6"/>
  <c r="G348" i="6"/>
  <c r="H607" i="6"/>
  <c r="G606" i="6"/>
  <c r="H606" i="6" s="1"/>
  <c r="G702" i="6"/>
  <c r="G488" i="6"/>
  <c r="G487" i="6" s="1"/>
  <c r="G458" i="6"/>
  <c r="G650" i="6"/>
  <c r="G643" i="6"/>
  <c r="G698" i="6"/>
  <c r="H698" i="6"/>
  <c r="G389" i="6"/>
  <c r="H389" i="6" s="1"/>
  <c r="G679" i="6"/>
  <c r="G817" i="6"/>
  <c r="H817" i="6" s="1"/>
  <c r="G816" i="6"/>
  <c r="H816" i="6"/>
  <c r="G815" i="6"/>
  <c r="H815" i="6" s="1"/>
  <c r="G814" i="6"/>
  <c r="H814" i="6"/>
  <c r="G813" i="6"/>
  <c r="H813" i="6" s="1"/>
  <c r="G812" i="6"/>
  <c r="H812" i="6"/>
  <c r="G810" i="6"/>
  <c r="H810" i="6" s="1"/>
  <c r="G777" i="6"/>
  <c r="H777" i="6"/>
  <c r="H776" i="6"/>
  <c r="G775" i="6"/>
  <c r="H775" i="6" s="1"/>
  <c r="G279" i="6"/>
  <c r="G199" i="6"/>
  <c r="G198" i="6" s="1"/>
  <c r="G273" i="6"/>
  <c r="G272" i="6" s="1"/>
  <c r="F272" i="6"/>
  <c r="H272" i="6" s="1"/>
  <c r="G274" i="6"/>
  <c r="G714" i="6"/>
  <c r="F239" i="6"/>
  <c r="G240" i="6"/>
  <c r="H240" i="6" s="1"/>
  <c r="G655" i="6"/>
  <c r="H655" i="6"/>
  <c r="G660" i="6"/>
  <c r="H660" i="6" s="1"/>
  <c r="G642" i="6"/>
  <c r="G651" i="6"/>
  <c r="H651" i="6"/>
  <c r="G283" i="6"/>
  <c r="H283" i="6" s="1"/>
  <c r="G293" i="6"/>
  <c r="H293" i="6" s="1"/>
  <c r="G619" i="6"/>
  <c r="G620" i="6"/>
  <c r="H620" i="6" s="1"/>
  <c r="G622" i="6"/>
  <c r="G621" i="6"/>
  <c r="G618" i="6"/>
  <c r="G509" i="6"/>
  <c r="H509" i="6"/>
  <c r="G508" i="6"/>
  <c r="G577" i="6"/>
  <c r="F574" i="6"/>
  <c r="G575" i="6"/>
  <c r="G539" i="6"/>
  <c r="G498" i="6"/>
  <c r="G590" i="6"/>
  <c r="G567" i="6"/>
  <c r="G551" i="6"/>
  <c r="G542" i="6"/>
  <c r="G538" i="6"/>
  <c r="G516" i="6"/>
  <c r="G379" i="6"/>
  <c r="H379" i="6"/>
  <c r="G325" i="6"/>
  <c r="H325" i="6" s="1"/>
  <c r="G407" i="6"/>
  <c r="H407" i="6"/>
  <c r="G398" i="6"/>
  <c r="G409" i="6"/>
  <c r="G428" i="6"/>
  <c r="G443" i="6"/>
  <c r="G424" i="6"/>
  <c r="G426" i="6"/>
  <c r="G430" i="6"/>
  <c r="G365" i="6"/>
  <c r="G344" i="6"/>
  <c r="G345" i="6"/>
  <c r="G328" i="6"/>
  <c r="G338" i="6"/>
  <c r="G352" i="6"/>
  <c r="G366" i="6"/>
  <c r="G340" i="6"/>
  <c r="G333" i="6" s="1"/>
  <c r="H333" i="6" s="1"/>
  <c r="G427" i="6"/>
  <c r="H427" i="6" s="1"/>
  <c r="G339" i="6"/>
  <c r="G397" i="6"/>
  <c r="H397" i="6"/>
  <c r="G142" i="6"/>
  <c r="H142" i="6"/>
  <c r="H744" i="6"/>
  <c r="F743" i="6"/>
  <c r="G746" i="6"/>
  <c r="G742" i="6"/>
  <c r="H742" i="6"/>
  <c r="G735" i="6"/>
  <c r="H735" i="6" s="1"/>
  <c r="G124" i="6"/>
  <c r="H124" i="6"/>
  <c r="G738" i="6"/>
  <c r="H738" i="6"/>
  <c r="G732" i="6"/>
  <c r="G123" i="6"/>
  <c r="H123" i="6"/>
  <c r="G759" i="6"/>
  <c r="G758" i="6" s="1"/>
  <c r="G749" i="6" s="1"/>
  <c r="G760" i="6"/>
  <c r="F760" i="6"/>
  <c r="F758" i="6"/>
  <c r="F749" i="6" s="1"/>
  <c r="H761" i="6"/>
  <c r="H757" i="6"/>
  <c r="G756" i="6"/>
  <c r="F756" i="6"/>
  <c r="H756" i="6" s="1"/>
  <c r="H755" i="6"/>
  <c r="H754" i="6"/>
  <c r="H753" i="6"/>
  <c r="H752" i="6"/>
  <c r="G751" i="6"/>
  <c r="F751" i="6"/>
  <c r="H746" i="6"/>
  <c r="H273" i="6"/>
  <c r="H751" i="6"/>
  <c r="G734" i="6"/>
  <c r="G719" i="6" s="1"/>
  <c r="H760" i="6"/>
  <c r="F90" i="6"/>
  <c r="G92" i="6"/>
  <c r="H92" i="6"/>
  <c r="G91" i="6"/>
  <c r="G88" i="6"/>
  <c r="H88" i="6"/>
  <c r="G73" i="6"/>
  <c r="H73" i="6" s="1"/>
  <c r="G74" i="6"/>
  <c r="H74" i="6"/>
  <c r="F71" i="6"/>
  <c r="H75" i="6"/>
  <c r="H76" i="6"/>
  <c r="G68" i="6"/>
  <c r="H68" i="6" s="1"/>
  <c r="G66" i="6"/>
  <c r="H66" i="6" s="1"/>
  <c r="H60" i="6"/>
  <c r="G56" i="6"/>
  <c r="F59" i="6"/>
  <c r="F55" i="6"/>
  <c r="G89" i="6"/>
  <c r="G86" i="6" s="1"/>
  <c r="H86" i="6" s="1"/>
  <c r="G105" i="6"/>
  <c r="G64" i="6"/>
  <c r="G70" i="6"/>
  <c r="H70" i="6"/>
  <c r="F93" i="6"/>
  <c r="H94" i="6"/>
  <c r="G71" i="6"/>
  <c r="G93" i="6"/>
  <c r="H93" i="6" s="1"/>
  <c r="G59" i="6"/>
  <c r="H59" i="6" s="1"/>
  <c r="H64" i="6"/>
  <c r="G58" i="6"/>
  <c r="H58" i="6"/>
  <c r="G57" i="6"/>
  <c r="H57" i="6" s="1"/>
  <c r="F57" i="6"/>
  <c r="G109" i="6"/>
  <c r="G108" i="6" s="1"/>
  <c r="G106" i="6" s="1"/>
  <c r="H106" i="6" s="1"/>
  <c r="H18" i="6"/>
  <c r="F17" i="6"/>
  <c r="G20" i="6"/>
  <c r="F19" i="6"/>
  <c r="G17" i="6"/>
  <c r="H51" i="6"/>
  <c r="H52" i="6"/>
  <c r="F45" i="6"/>
  <c r="F101" i="6"/>
  <c r="G103" i="6"/>
  <c r="H103" i="6"/>
  <c r="F26" i="6"/>
  <c r="G102" i="6"/>
  <c r="H27" i="6"/>
  <c r="H28" i="6"/>
  <c r="H29" i="6"/>
  <c r="H31" i="6"/>
  <c r="H33" i="6"/>
  <c r="H34" i="6"/>
  <c r="H35" i="6"/>
  <c r="H36" i="6"/>
  <c r="H37" i="6"/>
  <c r="H39" i="6"/>
  <c r="H40" i="6"/>
  <c r="H41" i="6"/>
  <c r="F492" i="6"/>
  <c r="H523" i="6"/>
  <c r="G330" i="6"/>
  <c r="H330" i="6"/>
  <c r="G261" i="6"/>
  <c r="H255" i="6"/>
  <c r="G396" i="6"/>
  <c r="H396" i="6"/>
  <c r="G232" i="6"/>
  <c r="H232" i="6" s="1"/>
  <c r="G230" i="6"/>
  <c r="G220" i="6"/>
  <c r="H220" i="6"/>
  <c r="G405" i="6"/>
  <c r="H405" i="6"/>
  <c r="G485" i="6"/>
  <c r="H485" i="6"/>
  <c r="G502" i="6"/>
  <c r="G522" i="6"/>
  <c r="H522" i="6" s="1"/>
  <c r="G486" i="6"/>
  <c r="G696" i="6"/>
  <c r="G260" i="6"/>
  <c r="G654" i="6"/>
  <c r="H654" i="6" s="1"/>
  <c r="G385" i="6"/>
  <c r="G386" i="6"/>
  <c r="H386" i="6" s="1"/>
  <c r="G369" i="6"/>
  <c r="G370" i="6"/>
  <c r="G197" i="6"/>
  <c r="H197" i="6"/>
  <c r="F196" i="6"/>
  <c r="G190" i="6"/>
  <c r="F282" i="6"/>
  <c r="G572" i="6"/>
  <c r="H572" i="6" s="1"/>
  <c r="G560" i="6"/>
  <c r="G589" i="6"/>
  <c r="G584" i="6" s="1"/>
  <c r="H584" i="6" s="1"/>
  <c r="G583" i="6"/>
  <c r="G535" i="6"/>
  <c r="G537" i="6"/>
  <c r="G501" i="6"/>
  <c r="G492" i="6" s="1"/>
  <c r="H492" i="6" s="1"/>
  <c r="G462" i="6"/>
  <c r="G461" i="6" s="1"/>
  <c r="H564" i="6"/>
  <c r="H566" i="6"/>
  <c r="G565" i="6"/>
  <c r="H565" i="6" s="1"/>
  <c r="H415" i="6"/>
  <c r="H416" i="6"/>
  <c r="H417" i="6"/>
  <c r="G388" i="6"/>
  <c r="H388" i="6" s="1"/>
  <c r="G402" i="6"/>
  <c r="G336" i="6"/>
  <c r="H336" i="6" s="1"/>
  <c r="G343" i="6"/>
  <c r="G341" i="6"/>
  <c r="G436" i="6"/>
  <c r="H436" i="6" s="1"/>
  <c r="G342" i="6"/>
  <c r="G384" i="6"/>
  <c r="H384" i="6" s="1"/>
  <c r="G383" i="6"/>
  <c r="G382" i="6"/>
  <c r="G381" i="6"/>
  <c r="G406" i="6"/>
  <c r="G355" i="6"/>
  <c r="G164" i="6"/>
  <c r="H166" i="6"/>
  <c r="H167" i="6"/>
  <c r="H168" i="6"/>
  <c r="H169" i="6"/>
  <c r="H170" i="6"/>
  <c r="H171" i="6"/>
  <c r="H172" i="6"/>
  <c r="H173" i="6"/>
  <c r="H174" i="6"/>
  <c r="F115" i="6"/>
  <c r="F113" i="6" s="1"/>
  <c r="H113" i="6" s="1"/>
  <c r="G117" i="6"/>
  <c r="H117" i="6" s="1"/>
  <c r="H30" i="6"/>
  <c r="H17" i="6"/>
  <c r="G196" i="6"/>
  <c r="H196" i="6"/>
  <c r="F707" i="6"/>
  <c r="F693" i="6" s="1"/>
  <c r="H707" i="6"/>
  <c r="F530" i="6"/>
  <c r="F524" i="6"/>
  <c r="G593" i="6"/>
  <c r="G295" i="6"/>
  <c r="G605" i="6"/>
  <c r="G603" i="6"/>
  <c r="H603" i="6" s="1"/>
  <c r="G242" i="6"/>
  <c r="G420" i="6"/>
  <c r="G331" i="6"/>
  <c r="H331" i="6" s="1"/>
  <c r="F728" i="6"/>
  <c r="H728" i="6" s="1"/>
  <c r="F289" i="6"/>
  <c r="F284" i="6"/>
  <c r="F252" i="6"/>
  <c r="F241" i="6"/>
  <c r="H241" i="6" s="1"/>
  <c r="K827" i="6"/>
  <c r="F820" i="6"/>
  <c r="F819" i="6"/>
  <c r="H819" i="6" s="1"/>
  <c r="F818" i="6"/>
  <c r="H818" i="6" s="1"/>
  <c r="F809" i="6"/>
  <c r="F808" i="6"/>
  <c r="F807" i="6"/>
  <c r="F803" i="6"/>
  <c r="F802" i="6"/>
  <c r="F801" i="6"/>
  <c r="F800" i="6"/>
  <c r="F799" i="6"/>
  <c r="H799" i="6" s="1"/>
  <c r="F798" i="6"/>
  <c r="F797" i="6"/>
  <c r="F796" i="6"/>
  <c r="F794" i="6"/>
  <c r="F793" i="6"/>
  <c r="F792" i="6"/>
  <c r="F791" i="6"/>
  <c r="H791" i="6"/>
  <c r="F774" i="6"/>
  <c r="F771" i="6"/>
  <c r="F770" i="6"/>
  <c r="H770" i="6" s="1"/>
  <c r="F769" i="6"/>
  <c r="F766" i="6" s="1"/>
  <c r="F767" i="6"/>
  <c r="F735" i="6"/>
  <c r="F734" i="6"/>
  <c r="F731" i="6"/>
  <c r="F730" i="6" s="1"/>
  <c r="F715" i="6"/>
  <c r="F672" i="6"/>
  <c r="F613" i="6"/>
  <c r="F612" i="6" s="1"/>
  <c r="H612" i="6" s="1"/>
  <c r="F600" i="6"/>
  <c r="F598" i="6"/>
  <c r="F589" i="6"/>
  <c r="F588" i="6"/>
  <c r="F584" i="6" s="1"/>
  <c r="F307" i="6"/>
  <c r="F306" i="6" s="1"/>
  <c r="F298" i="6"/>
  <c r="F297" i="6"/>
  <c r="F294" i="6"/>
  <c r="H294" i="6" s="1"/>
  <c r="F292" i="6"/>
  <c r="F291" i="6" s="1"/>
  <c r="F275" i="6"/>
  <c r="F274" i="6"/>
  <c r="H274" i="6"/>
  <c r="F260" i="6"/>
  <c r="F259" i="6" s="1"/>
  <c r="F258" i="6"/>
  <c r="F249" i="6"/>
  <c r="F238" i="6"/>
  <c r="F237" i="6" s="1"/>
  <c r="H237" i="6" s="1"/>
  <c r="H238" i="6"/>
  <c r="F235" i="6"/>
  <c r="F231" i="6"/>
  <c r="F230" i="6"/>
  <c r="F204" i="6"/>
  <c r="H204" i="6" s="1"/>
  <c r="F203" i="6"/>
  <c r="F199" i="6"/>
  <c r="F163" i="6"/>
  <c r="F162" i="6" s="1"/>
  <c r="F161" i="6"/>
  <c r="F136" i="6"/>
  <c r="F81" i="6"/>
  <c r="H81" i="6" s="1"/>
  <c r="F80" i="6"/>
  <c r="H80" i="6" s="1"/>
  <c r="F63" i="6"/>
  <c r="F61" i="6"/>
  <c r="H713" i="6"/>
  <c r="H256" i="6"/>
  <c r="H593" i="6"/>
  <c r="H299" i="6"/>
  <c r="H295" i="6"/>
  <c r="H605" i="6"/>
  <c r="H602" i="6"/>
  <c r="G241" i="6"/>
  <c r="H242" i="6"/>
  <c r="H227" i="6"/>
  <c r="H716" i="6"/>
  <c r="G715" i="6"/>
  <c r="H715" i="6" s="1"/>
  <c r="H205" i="6"/>
  <c r="G204" i="6"/>
  <c r="G728" i="6"/>
  <c r="H729" i="6"/>
  <c r="H733" i="6"/>
  <c r="F591" i="6"/>
  <c r="H594" i="6"/>
  <c r="H261" i="6"/>
  <c r="H213" i="6"/>
  <c r="H809" i="6"/>
  <c r="H700" i="6"/>
  <c r="H326" i="6"/>
  <c r="H431" i="6"/>
  <c r="H435" i="6"/>
  <c r="H434" i="6"/>
  <c r="H433" i="6"/>
  <c r="H223" i="6"/>
  <c r="H598" i="6"/>
  <c r="G601" i="6"/>
  <c r="F601" i="6"/>
  <c r="H596" i="6"/>
  <c r="F684" i="6"/>
  <c r="H684" i="6" s="1"/>
  <c r="H685" i="6"/>
  <c r="H796" i="6"/>
  <c r="H774" i="6"/>
  <c r="G237" i="6"/>
  <c r="H222" i="6"/>
  <c r="G259" i="6"/>
  <c r="F671" i="6"/>
  <c r="G671" i="6"/>
  <c r="G297" i="6"/>
  <c r="H297" i="6" s="1"/>
  <c r="G591" i="6"/>
  <c r="H527" i="6"/>
  <c r="H323" i="6"/>
  <c r="H324" i="6"/>
  <c r="H318" i="6"/>
  <c r="H321" i="6"/>
  <c r="H393" i="6"/>
  <c r="H408" i="6"/>
  <c r="H253" i="6"/>
  <c r="H252" i="6"/>
  <c r="H601" i="6"/>
  <c r="G684" i="6"/>
  <c r="H672" i="6"/>
  <c r="H298" i="6"/>
  <c r="H671" i="6"/>
  <c r="H391" i="6"/>
  <c r="H452" i="6"/>
  <c r="H449" i="6"/>
  <c r="H158" i="6"/>
  <c r="F135" i="6"/>
  <c r="H136" i="6"/>
  <c r="H122" i="6"/>
  <c r="H120" i="6"/>
  <c r="F155" i="6"/>
  <c r="H159" i="6"/>
  <c r="H157" i="6"/>
  <c r="H125" i="6"/>
  <c r="H706" i="6"/>
  <c r="H705" i="6"/>
  <c r="H711" i="6"/>
  <c r="H226" i="6"/>
  <c r="F133" i="6"/>
  <c r="H731" i="6"/>
  <c r="G730" i="6"/>
  <c r="G135" i="6"/>
  <c r="G133" i="6" s="1"/>
  <c r="G155" i="6"/>
  <c r="F140" i="6"/>
  <c r="F139" i="6" s="1"/>
  <c r="F137" i="6" s="1"/>
  <c r="H137" i="6" s="1"/>
  <c r="F143" i="6"/>
  <c r="H143" i="6" s="1"/>
  <c r="F165" i="6"/>
  <c r="F164" i="6" s="1"/>
  <c r="H135" i="6"/>
  <c r="H133" i="6"/>
  <c r="G139" i="6"/>
  <c r="H141" i="6"/>
  <c r="H296" i="6"/>
  <c r="H228" i="6"/>
  <c r="H215" i="6"/>
  <c r="F208" i="6"/>
  <c r="G289" i="6"/>
  <c r="H288" i="6"/>
  <c r="H243" i="6"/>
  <c r="H290" i="6"/>
  <c r="H289" i="6"/>
  <c r="H236" i="6"/>
  <c r="H714" i="6"/>
  <c r="H49" i="6"/>
  <c r="H50" i="6"/>
  <c r="H704" i="6"/>
  <c r="H320" i="6"/>
  <c r="H319" i="6"/>
  <c r="H317" i="6"/>
  <c r="H316" i="6"/>
  <c r="H210" i="6"/>
  <c r="H376" i="6"/>
  <c r="H418" i="6"/>
  <c r="H221" i="6"/>
  <c r="F202" i="6"/>
  <c r="H203" i="6"/>
  <c r="H275" i="6"/>
  <c r="H428" i="6"/>
  <c r="H803" i="6"/>
  <c r="H801" i="6"/>
  <c r="H800" i="6"/>
  <c r="H771" i="6"/>
  <c r="H769" i="6"/>
  <c r="H768" i="6"/>
  <c r="H792" i="6"/>
  <c r="H793" i="6"/>
  <c r="H794" i="6"/>
  <c r="H797" i="6"/>
  <c r="H798" i="6"/>
  <c r="H613" i="6"/>
  <c r="H245" i="6"/>
  <c r="F244" i="6"/>
  <c r="H246" i="6"/>
  <c r="F247" i="6"/>
  <c r="H247" i="6" s="1"/>
  <c r="H249" i="6"/>
  <c r="H647" i="6"/>
  <c r="G291" i="6"/>
  <c r="H287" i="6"/>
  <c r="H235" i="6"/>
  <c r="G233" i="6"/>
  <c r="H209" i="6"/>
  <c r="G208" i="6"/>
  <c r="H285" i="6"/>
  <c r="G612" i="6"/>
  <c r="H696" i="6"/>
  <c r="G693" i="6"/>
  <c r="H693" i="6" s="1"/>
  <c r="G244" i="6"/>
  <c r="G202" i="6"/>
  <c r="H202" i="6"/>
  <c r="H767" i="6"/>
  <c r="G247" i="6"/>
  <c r="H231" i="6"/>
  <c r="G284" i="6"/>
  <c r="H520" i="6"/>
  <c r="H519" i="6"/>
  <c r="H521" i="6"/>
  <c r="H463" i="6"/>
  <c r="H554" i="6"/>
  <c r="H539" i="6"/>
  <c r="H477" i="6"/>
  <c r="H505" i="6"/>
  <c r="H328" i="6"/>
  <c r="H370" i="6"/>
  <c r="H385" i="6"/>
  <c r="H383" i="6"/>
  <c r="H382" i="6"/>
  <c r="H381" i="6"/>
  <c r="H369" i="6"/>
  <c r="H430" i="6"/>
  <c r="H313" i="6"/>
  <c r="H377" i="6"/>
  <c r="H315" i="6"/>
  <c r="H354" i="6"/>
  <c r="H429" i="6"/>
  <c r="H390" i="6"/>
  <c r="H419" i="6"/>
  <c r="H332" i="6"/>
  <c r="F308" i="6"/>
  <c r="H399" i="6"/>
  <c r="H453" i="6"/>
  <c r="H820" i="6"/>
  <c r="H808" i="6"/>
  <c r="H727" i="6"/>
  <c r="G726" i="6"/>
  <c r="H726" i="6" s="1"/>
  <c r="F726" i="6"/>
  <c r="H725" i="6"/>
  <c r="H724" i="6"/>
  <c r="G721" i="6"/>
  <c r="H721" i="6" s="1"/>
  <c r="H723" i="6"/>
  <c r="H722" i="6"/>
  <c r="F721" i="6"/>
  <c r="H807" i="6"/>
  <c r="H63" i="6"/>
  <c r="H121" i="6"/>
  <c r="F151" i="6"/>
  <c r="H154" i="6"/>
  <c r="G79" i="6"/>
  <c r="H46" i="6"/>
  <c r="F85" i="6"/>
  <c r="H85" i="6"/>
  <c r="H712" i="6"/>
  <c r="F84" i="6"/>
  <c r="H84" i="6"/>
  <c r="F234" i="6"/>
  <c r="F233" i="6" s="1"/>
  <c r="H233" i="6" s="1"/>
  <c r="H708" i="6"/>
  <c r="H703" i="6"/>
  <c r="H702" i="6"/>
  <c r="H701" i="6"/>
  <c r="F216" i="6"/>
  <c r="F206" i="6" s="1"/>
  <c r="H709" i="6"/>
  <c r="H515" i="6"/>
  <c r="H156" i="6"/>
  <c r="F160" i="6"/>
  <c r="F178" i="6"/>
  <c r="F177" i="6"/>
  <c r="H177" i="6" s="1"/>
  <c r="F175" i="6"/>
  <c r="H175" i="6" s="1"/>
  <c r="G177" i="6"/>
  <c r="H165" i="6"/>
  <c r="H163" i="6"/>
  <c r="G162" i="6"/>
  <c r="H161" i="6"/>
  <c r="G160" i="6"/>
  <c r="H152" i="6"/>
  <c r="H148" i="6"/>
  <c r="H147" i="6"/>
  <c r="G146" i="6"/>
  <c r="G144" i="6"/>
  <c r="H145" i="6"/>
  <c r="G137" i="6"/>
  <c r="H138" i="6"/>
  <c r="H132" i="6"/>
  <c r="H131" i="6"/>
  <c r="H130" i="6"/>
  <c r="G129" i="6"/>
  <c r="G127" i="6" s="1"/>
  <c r="H128" i="6"/>
  <c r="H126" i="6"/>
  <c r="H119" i="6"/>
  <c r="G118" i="6"/>
  <c r="H116" i="6"/>
  <c r="H114" i="6"/>
  <c r="H185" i="6"/>
  <c r="F616" i="6"/>
  <c r="H623" i="6"/>
  <c r="F198" i="6"/>
  <c r="F475" i="6"/>
  <c r="F459" i="6" s="1"/>
  <c r="H479" i="6"/>
  <c r="F461" i="6"/>
  <c r="H474" i="6"/>
  <c r="H473" i="6"/>
  <c r="H472" i="6"/>
  <c r="H471" i="6"/>
  <c r="H470" i="6"/>
  <c r="H469" i="6"/>
  <c r="H468" i="6"/>
  <c r="H467" i="6"/>
  <c r="H466" i="6"/>
  <c r="H465" i="6"/>
  <c r="H464" i="6"/>
  <c r="H423" i="6"/>
  <c r="H345" i="6"/>
  <c r="H344" i="6"/>
  <c r="H368" i="6"/>
  <c r="H439" i="6"/>
  <c r="H422" i="6"/>
  <c r="H307" i="6"/>
  <c r="H420" i="6"/>
  <c r="F149" i="6"/>
  <c r="H224" i="6"/>
  <c r="G308" i="6"/>
  <c r="H308" i="6" s="1"/>
  <c r="H178" i="6"/>
  <c r="H199" i="6"/>
  <c r="H461" i="6"/>
  <c r="H198" i="6"/>
  <c r="G475" i="6"/>
  <c r="H588" i="6"/>
  <c r="H164" i="6"/>
  <c r="H160" i="6"/>
  <c r="H155" i="6"/>
  <c r="F146" i="6"/>
  <c r="G175" i="6"/>
  <c r="F118" i="6"/>
  <c r="H118" i="6" s="1"/>
  <c r="F129" i="6"/>
  <c r="G306" i="6"/>
  <c r="H306" i="6"/>
  <c r="F86" i="6"/>
  <c r="H89" i="6"/>
  <c r="G691" i="6"/>
  <c r="G688" i="6"/>
  <c r="G686" i="6" s="1"/>
  <c r="G682" i="6"/>
  <c r="G680" i="6" s="1"/>
  <c r="G677" i="6"/>
  <c r="G675" i="6"/>
  <c r="G673" i="6"/>
  <c r="H673" i="6" s="1"/>
  <c r="G669" i="6"/>
  <c r="G628" i="6"/>
  <c r="G624" i="6"/>
  <c r="G614" i="6"/>
  <c r="G610" i="6"/>
  <c r="G580" i="6"/>
  <c r="G578" i="6"/>
  <c r="G576" i="6"/>
  <c r="G489" i="6"/>
  <c r="H489" i="6" s="1"/>
  <c r="G483" i="6"/>
  <c r="G480" i="6"/>
  <c r="G444" i="6"/>
  <c r="G302" i="6"/>
  <c r="G278" i="6"/>
  <c r="G276" i="6"/>
  <c r="G270" i="6"/>
  <c r="H270" i="6" s="1"/>
  <c r="G268" i="6"/>
  <c r="G264" i="6"/>
  <c r="G257" i="6"/>
  <c r="G200" i="6"/>
  <c r="H200" i="6" s="1"/>
  <c r="G193" i="6"/>
  <c r="G191" i="6"/>
  <c r="G187" i="6"/>
  <c r="G183" i="6"/>
  <c r="H183" i="6" s="1"/>
  <c r="G104" i="6"/>
  <c r="H182" i="6"/>
  <c r="H184" i="6"/>
  <c r="H186" i="6"/>
  <c r="H188" i="6"/>
  <c r="H189" i="6"/>
  <c r="H190" i="6"/>
  <c r="H192" i="6"/>
  <c r="H194" i="6"/>
  <c r="H195" i="6"/>
  <c r="H201" i="6"/>
  <c r="H207" i="6"/>
  <c r="H211" i="6"/>
  <c r="H217" i="6"/>
  <c r="H219" i="6"/>
  <c r="H225" i="6"/>
  <c r="H248" i="6"/>
  <c r="H251" i="6"/>
  <c r="H254" i="6"/>
  <c r="H258" i="6"/>
  <c r="H260" i="6"/>
  <c r="H263" i="6"/>
  <c r="H265" i="6"/>
  <c r="H266" i="6"/>
  <c r="H267" i="6"/>
  <c r="H269" i="6"/>
  <c r="H271" i="6"/>
  <c r="H277" i="6"/>
  <c r="H281" i="6"/>
  <c r="H286" i="6"/>
  <c r="H301" i="6"/>
  <c r="H303" i="6"/>
  <c r="H305" i="6"/>
  <c r="H309" i="6"/>
  <c r="H310" i="6"/>
  <c r="H311" i="6"/>
  <c r="H312" i="6"/>
  <c r="H314" i="6"/>
  <c r="H329" i="6"/>
  <c r="H334" i="6"/>
  <c r="H335" i="6"/>
  <c r="H337" i="6"/>
  <c r="H338" i="6"/>
  <c r="H343" i="6"/>
  <c r="H346" i="6"/>
  <c r="H347" i="6"/>
  <c r="H348" i="6"/>
  <c r="H349" i="6"/>
  <c r="H350" i="6"/>
  <c r="H353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71" i="6"/>
  <c r="H372" i="6"/>
  <c r="H373" i="6"/>
  <c r="H374" i="6"/>
  <c r="H375" i="6"/>
  <c r="H387" i="6"/>
  <c r="H392" i="6"/>
  <c r="H395" i="6"/>
  <c r="H398" i="6"/>
  <c r="H342" i="6"/>
  <c r="H400" i="6"/>
  <c r="H401" i="6"/>
  <c r="H402" i="6"/>
  <c r="H406" i="6"/>
  <c r="H409" i="6"/>
  <c r="H410" i="6"/>
  <c r="H411" i="6"/>
  <c r="H412" i="6"/>
  <c r="H413" i="6"/>
  <c r="H414" i="6"/>
  <c r="H425" i="6"/>
  <c r="H426" i="6"/>
  <c r="H438" i="6"/>
  <c r="H440" i="6"/>
  <c r="H441" i="6"/>
  <c r="H442" i="6"/>
  <c r="H443" i="6"/>
  <c r="H445" i="6"/>
  <c r="H446" i="6"/>
  <c r="H447" i="6"/>
  <c r="H448" i="6"/>
  <c r="H450" i="6"/>
  <c r="H451" i="6"/>
  <c r="H454" i="6"/>
  <c r="H455" i="6"/>
  <c r="H456" i="6"/>
  <c r="H458" i="6"/>
  <c r="H460" i="6"/>
  <c r="H462" i="6"/>
  <c r="H476" i="6"/>
  <c r="H481" i="6"/>
  <c r="H482" i="6"/>
  <c r="H484" i="6"/>
  <c r="H486" i="6"/>
  <c r="H488" i="6"/>
  <c r="H490" i="6"/>
  <c r="H491" i="6"/>
  <c r="H493" i="6"/>
  <c r="H494" i="6"/>
  <c r="H495" i="6"/>
  <c r="H496" i="6"/>
  <c r="H497" i="6"/>
  <c r="H498" i="6"/>
  <c r="H499" i="6"/>
  <c r="H500" i="6"/>
  <c r="H502" i="6"/>
  <c r="H503" i="6"/>
  <c r="H504" i="6"/>
  <c r="H506" i="6"/>
  <c r="H507" i="6"/>
  <c r="H508" i="6"/>
  <c r="H510" i="6"/>
  <c r="H511" i="6"/>
  <c r="H512" i="6"/>
  <c r="H513" i="6"/>
  <c r="H514" i="6"/>
  <c r="H516" i="6"/>
  <c r="H517" i="6"/>
  <c r="H518" i="6"/>
  <c r="H525" i="6"/>
  <c r="H526" i="6"/>
  <c r="H528" i="6"/>
  <c r="H529" i="6"/>
  <c r="H530" i="6"/>
  <c r="H531" i="6"/>
  <c r="H532" i="6"/>
  <c r="H533" i="6"/>
  <c r="H534" i="6"/>
  <c r="H535" i="6"/>
  <c r="H537" i="6"/>
  <c r="H538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6" i="6"/>
  <c r="H557" i="6"/>
  <c r="H558" i="6"/>
  <c r="H559" i="6"/>
  <c r="H560" i="6"/>
  <c r="H561" i="6"/>
  <c r="H562" i="6"/>
  <c r="H567" i="6"/>
  <c r="H568" i="6"/>
  <c r="H569" i="6"/>
  <c r="H570" i="6"/>
  <c r="H571" i="6"/>
  <c r="H573" i="6"/>
  <c r="H577" i="6"/>
  <c r="H579" i="6"/>
  <c r="H581" i="6"/>
  <c r="H582" i="6"/>
  <c r="H583" i="6"/>
  <c r="H585" i="6"/>
  <c r="H586" i="6"/>
  <c r="H587" i="6"/>
  <c r="H590" i="6"/>
  <c r="H592" i="6"/>
  <c r="H609" i="6"/>
  <c r="H611" i="6"/>
  <c r="H615" i="6"/>
  <c r="H617" i="6"/>
  <c r="H618" i="6"/>
  <c r="H619" i="6"/>
  <c r="H621" i="6"/>
  <c r="H622" i="6"/>
  <c r="H625" i="6"/>
  <c r="H627" i="6"/>
  <c r="H629" i="6"/>
  <c r="H634" i="6"/>
  <c r="H635" i="6"/>
  <c r="H636" i="6"/>
  <c r="H637" i="6"/>
  <c r="H638" i="6"/>
  <c r="H639" i="6"/>
  <c r="H640" i="6"/>
  <c r="H641" i="6"/>
  <c r="H642" i="6"/>
  <c r="H643" i="6"/>
  <c r="H644" i="6"/>
  <c r="H646" i="6"/>
  <c r="H648" i="6"/>
  <c r="H649" i="6"/>
  <c r="H650" i="6"/>
  <c r="H652" i="6"/>
  <c r="H653" i="6"/>
  <c r="H656" i="6"/>
  <c r="H657" i="6"/>
  <c r="H659" i="6"/>
  <c r="H662" i="6"/>
  <c r="H663" i="6"/>
  <c r="H664" i="6"/>
  <c r="H667" i="6"/>
  <c r="H668" i="6"/>
  <c r="H670" i="6"/>
  <c r="H676" i="6"/>
  <c r="H678" i="6"/>
  <c r="H679" i="6"/>
  <c r="H681" i="6"/>
  <c r="H683" i="6"/>
  <c r="H687" i="6"/>
  <c r="H689" i="6"/>
  <c r="H690" i="6"/>
  <c r="H692" i="6"/>
  <c r="H694" i="6"/>
  <c r="H695" i="6"/>
  <c r="H697" i="6"/>
  <c r="H699" i="6"/>
  <c r="H54" i="6"/>
  <c r="H77" i="6"/>
  <c r="H87" i="6"/>
  <c r="H100" i="6"/>
  <c r="H105" i="6"/>
  <c r="F104" i="6"/>
  <c r="F99" i="6" s="1"/>
  <c r="F183" i="6"/>
  <c r="F187" i="6"/>
  <c r="F191" i="6"/>
  <c r="H191" i="6" s="1"/>
  <c r="F193" i="6"/>
  <c r="F200" i="6"/>
  <c r="F257" i="6"/>
  <c r="F264" i="6"/>
  <c r="H264" i="6" s="1"/>
  <c r="F268" i="6"/>
  <c r="F270" i="6"/>
  <c r="F279" i="6"/>
  <c r="F278" i="6"/>
  <c r="F276" i="6" s="1"/>
  <c r="H276" i="6" s="1"/>
  <c r="F302" i="6"/>
  <c r="F300" i="6"/>
  <c r="H300" i="6" s="1"/>
  <c r="H340" i="6"/>
  <c r="H341" i="6"/>
  <c r="H351" i="6"/>
  <c r="H352" i="6"/>
  <c r="H378" i="6"/>
  <c r="H404" i="6"/>
  <c r="F421" i="6"/>
  <c r="F444" i="6"/>
  <c r="F304" i="6" s="1"/>
  <c r="F480" i="6"/>
  <c r="F483" i="6"/>
  <c r="F487" i="6"/>
  <c r="F489" i="6"/>
  <c r="F555" i="6"/>
  <c r="F576" i="6"/>
  <c r="F578" i="6"/>
  <c r="H578" i="6" s="1"/>
  <c r="F580" i="6"/>
  <c r="H580" i="6" s="1"/>
  <c r="F610" i="6"/>
  <c r="H610" i="6" s="1"/>
  <c r="F614" i="6"/>
  <c r="F624" i="6"/>
  <c r="F630" i="6"/>
  <c r="F628" i="6"/>
  <c r="F626" i="6" s="1"/>
  <c r="F633" i="6"/>
  <c r="F661" i="6"/>
  <c r="F669" i="6"/>
  <c r="H669" i="6" s="1"/>
  <c r="F673" i="6"/>
  <c r="F677" i="6"/>
  <c r="F682" i="6"/>
  <c r="F680" i="6"/>
  <c r="H680" i="6" s="1"/>
  <c r="F688" i="6"/>
  <c r="F691" i="6"/>
  <c r="G262" i="6"/>
  <c r="G181" i="6"/>
  <c r="F686" i="6"/>
  <c r="F333" i="6"/>
  <c r="H480" i="6"/>
  <c r="H591" i="6"/>
  <c r="H193" i="6"/>
  <c r="H677" i="6"/>
  <c r="H576" i="6"/>
  <c r="H614" i="6"/>
  <c r="H259" i="6"/>
  <c r="H244" i="6"/>
  <c r="H483" i="6"/>
  <c r="H268" i="6"/>
  <c r="H284" i="6"/>
  <c r="F675" i="6"/>
  <c r="H675" i="6" s="1"/>
  <c r="H71" i="6"/>
  <c r="H302" i="6"/>
  <c r="H257" i="6"/>
  <c r="H139" i="6"/>
  <c r="H146" i="6"/>
  <c r="F144" i="6"/>
  <c r="F127" i="6"/>
  <c r="H127" i="6" s="1"/>
  <c r="H129" i="6"/>
  <c r="H630" i="6"/>
  <c r="H339" i="6"/>
  <c r="H624" i="6"/>
  <c r="H279" i="6"/>
  <c r="H208" i="6"/>
  <c r="F250" i="6"/>
  <c r="H250" i="6" s="1"/>
  <c r="H682" i="6"/>
  <c r="H437" i="6"/>
  <c r="G300" i="6"/>
  <c r="H104" i="6"/>
  <c r="H691" i="6"/>
  <c r="H187" i="6"/>
  <c r="H144" i="6"/>
  <c r="H291" i="6" l="1"/>
  <c r="F280" i="6"/>
  <c r="H730" i="6"/>
  <c r="F719" i="6"/>
  <c r="H719" i="6" s="1"/>
  <c r="H487" i="6"/>
  <c r="H686" i="6"/>
  <c r="H823" i="6"/>
  <c r="G821" i="6"/>
  <c r="H633" i="6"/>
  <c r="G216" i="6"/>
  <c r="G206" i="6" s="1"/>
  <c r="H206" i="6" s="1"/>
  <c r="H229" i="6"/>
  <c r="G26" i="6"/>
  <c r="H26" i="6" s="1"/>
  <c r="H32" i="6"/>
  <c r="F181" i="6"/>
  <c r="H181" i="6" s="1"/>
  <c r="F764" i="6"/>
  <c r="H759" i="6"/>
  <c r="G766" i="6"/>
  <c r="G764" i="6" s="1"/>
  <c r="F21" i="6"/>
  <c r="H56" i="6"/>
  <c r="G55" i="6"/>
  <c r="H55" i="6" s="1"/>
  <c r="H575" i="6"/>
  <c r="G574" i="6"/>
  <c r="H278" i="6"/>
  <c r="H628" i="6"/>
  <c r="F608" i="6"/>
  <c r="F262" i="6"/>
  <c r="H262" i="6" s="1"/>
  <c r="H658" i="6"/>
  <c r="H501" i="6"/>
  <c r="H600" i="6"/>
  <c r="F597" i="6"/>
  <c r="H109" i="6"/>
  <c r="H749" i="6"/>
  <c r="H574" i="6"/>
  <c r="H115" i="6"/>
  <c r="H444" i="6"/>
  <c r="H234" i="6"/>
  <c r="G661" i="6"/>
  <c r="H661" i="6" s="1"/>
  <c r="H589" i="6"/>
  <c r="G151" i="6"/>
  <c r="H292" i="6"/>
  <c r="H230" i="6"/>
  <c r="H734" i="6"/>
  <c r="F806" i="6"/>
  <c r="H108" i="6"/>
  <c r="G45" i="6"/>
  <c r="G21" i="6" s="1"/>
  <c r="F15" i="6"/>
  <c r="G239" i="6"/>
  <c r="H239" i="6" s="1"/>
  <c r="H758" i="6"/>
  <c r="H424" i="6"/>
  <c r="G421" i="6"/>
  <c r="H421" i="6" s="1"/>
  <c r="G616" i="6"/>
  <c r="G97" i="6"/>
  <c r="H748" i="6"/>
  <c r="G745" i="6"/>
  <c r="G743" i="6" s="1"/>
  <c r="H743" i="6" s="1"/>
  <c r="G806" i="6"/>
  <c r="G804" i="6" s="1"/>
  <c r="H773" i="6"/>
  <c r="G555" i="6"/>
  <c r="G459" i="6" s="1"/>
  <c r="H459" i="6" s="1"/>
  <c r="F79" i="6"/>
  <c r="H20" i="6"/>
  <c r="G19" i="6"/>
  <c r="H19" i="6" s="1"/>
  <c r="G61" i="6"/>
  <c r="H91" i="6"/>
  <c r="G90" i="6"/>
  <c r="H90" i="6" s="1"/>
  <c r="H475" i="6"/>
  <c r="H688" i="6"/>
  <c r="H140" i="6"/>
  <c r="H162" i="6"/>
  <c r="G282" i="6"/>
  <c r="H282" i="6" s="1"/>
  <c r="H102" i="6"/>
  <c r="G101" i="6"/>
  <c r="G99" i="6" s="1"/>
  <c r="H99" i="6" s="1"/>
  <c r="H101" i="6"/>
  <c r="G15" i="6"/>
  <c r="H821" i="6"/>
  <c r="F9" i="6"/>
  <c r="H9" i="6" s="1"/>
  <c r="H11" i="6"/>
  <c r="H599" i="6"/>
  <c r="G597" i="6"/>
  <c r="G595" i="6" s="1"/>
  <c r="H23" i="6"/>
  <c r="G304" i="6" l="1"/>
  <c r="H304" i="6" s="1"/>
  <c r="F595" i="6"/>
  <c r="H595" i="6" s="1"/>
  <c r="H597" i="6"/>
  <c r="H21" i="6"/>
  <c r="H766" i="6"/>
  <c r="H555" i="6"/>
  <c r="H61" i="6"/>
  <c r="G53" i="6"/>
  <c r="G95" i="6"/>
  <c r="H95" i="6" s="1"/>
  <c r="H97" i="6"/>
  <c r="G608" i="6"/>
  <c r="H616" i="6"/>
  <c r="H806" i="6"/>
  <c r="F804" i="6"/>
  <c r="F717" i="6"/>
  <c r="H608" i="6"/>
  <c r="H764" i="6"/>
  <c r="H216" i="6"/>
  <c r="G626" i="6"/>
  <c r="G280" i="6"/>
  <c r="H79" i="6"/>
  <c r="F53" i="6"/>
  <c r="H15" i="6"/>
  <c r="H151" i="6"/>
  <c r="G149" i="6"/>
  <c r="H149" i="6" s="1"/>
  <c r="H745" i="6"/>
  <c r="H45" i="6"/>
  <c r="H280" i="6"/>
  <c r="H53" i="6" l="1"/>
  <c r="F111" i="6"/>
  <c r="H804" i="6"/>
  <c r="F825" i="6"/>
  <c r="G717" i="6"/>
  <c r="G825" i="6" s="1"/>
  <c r="H626" i="6"/>
  <c r="H717" i="6" s="1"/>
  <c r="G111" i="6"/>
  <c r="G179" i="6" s="1"/>
  <c r="H825" i="6" l="1"/>
  <c r="H111" i="6"/>
  <c r="F179" i="6"/>
  <c r="H179" i="6" s="1"/>
  <c r="G826" i="6"/>
  <c r="H826" i="6" l="1"/>
  <c r="F826" i="6"/>
</calcChain>
</file>

<file path=xl/sharedStrings.xml><?xml version="1.0" encoding="utf-8"?>
<sst xmlns="http://schemas.openxmlformats.org/spreadsheetml/2006/main" count="1235" uniqueCount="736">
  <si>
    <t>Благоустрій території в районі заїзду з вул. П. Мирного до Івано-Франківської дитячої поліклініки на вул. П. Тичини</t>
  </si>
  <si>
    <t>Реконструкція тротуару з влаштуванням велодоріжки на вул. Галицькій (парна сторона)</t>
  </si>
  <si>
    <t xml:space="preserve">Капітальний ремонт пішохідної зони з влаштуванням велодоріжки навколо міського озера на вул. Г. Мазепи </t>
  </si>
  <si>
    <t>Реконструкція дворових каналізаційних мереж на вул. Бобикевича, 8, 10 в ІФ</t>
  </si>
  <si>
    <t>Встановлення бронзової таблички С. Пушику на Алеї відомих франківців на вул. Шевченка</t>
  </si>
  <si>
    <t>Капітальний ремонт ліфта на вул. Симоненка, 24а</t>
  </si>
  <si>
    <t>Придбання спеціалізованої техніки та обладнання для КП «Благоустрій» (багатофункціональний мініпогрузчик AVANT 750, ковш основний посилений, щітка підмітальна снігоприбиральна 1500 мм, сніговідвал бульдозерний, розкидувач піску, косарка)</t>
  </si>
  <si>
    <t>Заміна проектної бетонної бруківки на гранітну бруківку з шліфованим верхом – на пішохідних переходах на вул. Л. Українки</t>
  </si>
  <si>
    <t>Заміна проектної бетонної бруківки на гранітну бруківку з шліфованим верхом – на пішохідних переходах на пл. Міцкевича (кільце)</t>
  </si>
  <si>
    <t>Заміна проектної бетонної бруківки на гранітну бруківку з шліфованим верхом – на пішохідних переходах на пл. Міцкевича (район вул. В. Вишиваного)</t>
  </si>
  <si>
    <t>Прокладання електричного кабелю в районі вул. Л. Українки та пл. Міцкевича</t>
  </si>
  <si>
    <t>Встановлення бортових (природних) каменів на вул. Л. Українки</t>
  </si>
  <si>
    <t>Влаштування додаткової основи із щебню та цементно-бетонних (армованих) покриттів на пл. Міцкевича</t>
  </si>
  <si>
    <t>Влаштування додаткового вуличного освітлення на пл. Міцкевича</t>
  </si>
  <si>
    <t>Влаштування додаткового вуличного освітлення на вул. Л. Українки</t>
  </si>
  <si>
    <t>Ремонт внутрішньобудинкових мереж водопостачання житлового будинку №138 на вул. Коновальця в м. Івано-Франківську</t>
  </si>
  <si>
    <t>Будівництво НВК ЗОШ № 6 в м-ні "Опришівці" (ПВР+роботи)</t>
  </si>
  <si>
    <t>Будівництво Північного бульвару на ділянці від вул. Бельведерської до вул. Панаса Мирного (ПВР+роботи)</t>
  </si>
  <si>
    <t>Вибірковий капітальний ремонт вул. Коперніка</t>
  </si>
  <si>
    <t>Капітальний ремонт території ЗШ № 25 на  вул. 24 Серпня, 13</t>
  </si>
  <si>
    <t>Реконструкція центрального міського стадіону «Рух» на вул. Чорновола, 128 в м. Івано-Франківську</t>
  </si>
  <si>
    <t>Капітальний ремонт системи опалення ДНЗ №6 на вул. Тарнавського, 16</t>
  </si>
  <si>
    <t>Капітальний ремонт мереж зовнішнього освітлення вул. Галицька в м. Івано-Франківську</t>
  </si>
  <si>
    <t>Капітальний ремонт спортивного майданчика біля житлового будинку на вул. Дорошенка, 18</t>
  </si>
  <si>
    <t>Влаштування дитячого спортивного майданчика на вул. Целевича, 1А (капітальний ремонт)</t>
  </si>
  <si>
    <t>Капітальний ремонт палаців i будинків культури, клубів, центрів дозвілля та iнших клубних закладів</t>
  </si>
  <si>
    <t>Капітальний ремонт шкіл естетичного виховання дітей</t>
  </si>
  <si>
    <t>Придбання комп’ютерного обладнання для МЦД</t>
  </si>
  <si>
    <t>Придбання музичних інструментів для ДМШ №2</t>
  </si>
  <si>
    <t>Встановлення урн на зупинках</t>
  </si>
  <si>
    <t>Капітальний ремонт поліклінік міста</t>
  </si>
  <si>
    <t>0611070</t>
  </si>
  <si>
    <t>Придбання обладнання для дитячого майданчика ДНЗ №16</t>
  </si>
  <si>
    <t>Капітальний ремонт даху ДЮК Мангуста</t>
  </si>
  <si>
    <t>1610180</t>
  </si>
  <si>
    <t>Придбання тентового купольного навісу</t>
  </si>
  <si>
    <t>Заміна вікон на сходових клітках в житловому будинку на вул. Чорновола,125а в м. Івано-Франківськ. (Капітальний ремонт)</t>
  </si>
  <si>
    <t>Заміна вікон на сходових клітках в житловому будинку на вул. Софії Галечко,1 в м. Івано-Франківськ. (Капітальний ремонт)</t>
  </si>
  <si>
    <t>Заміна вікон на сходових клітках в житловому будинку на вул. Софії Галечко,3 в м. Івано-Франківськ. (Капітальний ремонт)</t>
  </si>
  <si>
    <t>Заміна вікон на сходових клітках в житловому будинку на вул. Чорновола,121 в м. Івано-Франківськ. (Капітальний ремонт)</t>
  </si>
  <si>
    <t>Заміна вікон на сходових клітках в житловому будинку на вул. Петлюри,1 в м. Івано-Франківськ. (Капітальний ремонт)</t>
  </si>
  <si>
    <t>Заміна вхідних дверей в житловому будинку на вул. Чорновола,153 в м. Івано-Франківськ. (Капітальний ремонт)</t>
  </si>
  <si>
    <t>Заміна вхідних дверей в житловому будинку на вул. Гвардійська,5 (2-й під’їзд) в м. Івано-Франківськ. (Капітальний ремонт)</t>
  </si>
  <si>
    <t>Заміна вхідних дверей в житловому будинку на вул. Чорновола,125 в м. Івано-Франківськ. (Капітальний ремонт)</t>
  </si>
  <si>
    <t>Заміна вхідних дверей в житловому будинку на вул. Софії Галечко,3 в м. Івано-Франківськ. (Капітальний ремонт)</t>
  </si>
  <si>
    <t>Заміна вхідних дверей та вікон на сходових клітках в житловому будинку на вул. Сорохтея,9 (6-й під’їзд) в м. Івано-Франківськ. (Капітальний ремонт)</t>
  </si>
  <si>
    <t>Капітальний ремонт прибудинкової території житлового будинку на вул. Петлюри,1 в м. Івано-Франківськ</t>
  </si>
  <si>
    <t>Капітальний ремонт прибудинкової території житлового будинку на  вул. Гвардійська,5 в м. Івано-Франківськ. (Капітальний ремонт)</t>
  </si>
  <si>
    <t>Улаштування благоустрою прибудинкової території житлового будинку на  вул.  Софії Галечко,3 в м. Івано-Франківськ. (Капітальний ремонт)</t>
  </si>
  <si>
    <t>Улаштування благоустрою прибудинкової території житлового будинку на  вул. Карпатської Січі, 5 в м. Івано-Франківськ. (Капітальний ремонт</t>
  </si>
  <si>
    <t>Улаштування благоустрою прибудинкової території житлового будинку на  вул. Карпатської Січі, 6 в м. Івано-Франківськ. (Капітальний ремонт)</t>
  </si>
  <si>
    <t>Улаштування благоустрою прибудинкової території житлового будинку на  вул. Карпатської Січі, 4 в м. Івано-Франківськ. (Капітальний ремонт)</t>
  </si>
  <si>
    <t>Улаштування благоустрою прибудинкової території житлового будинку на  вул. Волошина, 6 в м. Івано-Франківськ. (Капітальний ремонт)</t>
  </si>
  <si>
    <t>Реконструкція вул. Автоливмашівської (від залізничного переїзду до вул. Юності) в м. Івано-Франківську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</si>
  <si>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</si>
  <si>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</si>
  <si>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</si>
  <si>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Придбання житла для Г.В. Латковської</t>
  </si>
  <si>
    <t>0218230</t>
  </si>
  <si>
    <t>8230</t>
  </si>
  <si>
    <t>Інші заходи громадського порядку та безпеки</t>
  </si>
  <si>
    <t>Комплексна програма профілактики злочинності в місті до 2020 року</t>
  </si>
  <si>
    <t>Придбання основних засобів для Хриплинської ЗШ</t>
  </si>
  <si>
    <t>Субвенція на капітальний ремонт благоустрою території Угорницька ЗШ (вул. Тополина, 22) с. Угорники</t>
  </si>
  <si>
    <t>Фонд міської ради на виконання депутатських повноважень</t>
  </si>
  <si>
    <t>Благоустрій та озеленення прибудинкової території біля 8-13 під’їздів на вул. Хоткевича, 54</t>
  </si>
  <si>
    <t>Придбання автомобіля фургон для КП «Благоустрій»</t>
  </si>
  <si>
    <t>Капітальний ремонт тротуару на вул. Снігуровича (ПВР+ роботи)</t>
  </si>
  <si>
    <t>Науково-дослідні роботи та реставраційний ремонт фасадів будинку на вул. Січових Стрільців, 16 в м. Івано-Франківську (пам'ятки архітектури та містобудування місцевого значення, охоронний №358-ІФ, колишній торговий будинок, готель та кінотеатр "Олімпія"</t>
  </si>
  <si>
    <t>Придбання холодильника для ДНЗ №19</t>
  </si>
  <si>
    <t>Капітальний ремонт даху (цілий будинок) по вул. Галицька, 145</t>
  </si>
  <si>
    <t>Капітальний ремонт даху (цілий будинок) по вул. Горбачевського, 40</t>
  </si>
  <si>
    <t>Заміна вікон на сходових маршах (2 та 3 під’їзд) но вул. Витвицького, 24</t>
  </si>
  <si>
    <t>Заміна вікон на сходових маршах (3 під’їзд) но вул. Галицька, 145</t>
  </si>
  <si>
    <t>Субвенція на розвиток села Черніїв</t>
  </si>
  <si>
    <t>Будівництво1 інших об'єктів  комунальної власності</t>
  </si>
  <si>
    <t>Будівництво1 інших об'єктів комунальної власності</t>
  </si>
  <si>
    <t>0611162</t>
  </si>
  <si>
    <t>1162</t>
  </si>
  <si>
    <t>Іншi програми та заходи у сфері освіти</t>
  </si>
  <si>
    <t>1014030</t>
  </si>
  <si>
    <t>Забезпечення діяльності бiблiотек</t>
  </si>
  <si>
    <t>Придбання книг для бібліотеки с. Хриплин (субвенція з с. Хриплин)</t>
  </si>
  <si>
    <t>Придбання комп’ютерного обладнання на забезпечення якісної, сучасної та доступної загальної середньої освіти «Нова українська школа»</t>
  </si>
  <si>
    <t>Субвенція Івано-Франківському обласному бюджету для співфінансування видатків на закупівлю сучасних меблів, музичних інструментів, комп’ютерного обладнання, мультимедійного контенту на забезпечення якісної, сучасної та доступної загальної середньої освіти «Нова українська школа»</t>
  </si>
  <si>
    <t>Субвенція на розвиток села Підпечари</t>
  </si>
  <si>
    <t>Субвенція на розвиток села Узин</t>
  </si>
  <si>
    <t>Закупівля дидактичних матеріалів</t>
  </si>
  <si>
    <t>Субвенція з обласного бюджету на встановлення спортивного майданчика зі штучним покриттям на території Микитинецької ЗШ на вул. Просвіти в с. Микитинці (капітальний ремонт)</t>
  </si>
  <si>
    <t>Будівництво дитячого садка в с. Крихівці (субвенція з с. Крихівці)</t>
  </si>
  <si>
    <t>Будівництво дитячого садка в с. Микитинці (субвенція з с. Микитинці)</t>
  </si>
  <si>
    <t>Реконструкція з добудовою приміщень Крихівецької ЗОШ І-ІІІ ступенів на вул. 22 Січня, 141А в с. Крихівці Івано-Франківської міської ради (субвенція з с. Крихівці)</t>
  </si>
  <si>
    <t>Реконструкція Народного дому в селі Угорники Івано-Франківської міської ради (субвенція з с. Угорники)</t>
  </si>
  <si>
    <t>Придбання інтерактивних дощок для Микитинецької ЗШ (субвенція з с. Микитинці)</t>
  </si>
  <si>
    <t>Встановлення спортивного майданчика зі штучним покриттям на території Микитинецької ЗОШ (субвенція с. Микитинці)</t>
  </si>
  <si>
    <t>Субвенція з обласного бюджету на придбання житла особі з числа дітей, позбавлених батьківського піклування Латковській Галині Вікторівні, 21.05.1996 р.н.</t>
  </si>
  <si>
    <t>Капітальний ремонт зони для паркування автотранспортних засобів біля буд. №21 на вул. Грушевського</t>
  </si>
  <si>
    <t>Облаштування спортивного майданчика Івано-Франківської ЗОШ № 16 на вул. Вовчинецькій в місті Івано-Франківську (Капітальний ремонт)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</si>
  <si>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"Муніципальна інвестиційна управляюча компанія"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</si>
  <si>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"Дирекція замовника</t>
    </r>
    <r>
      <rPr>
        <sz val="14"/>
        <rFont val="Times New Roman"/>
        <family val="1"/>
        <charset val="204"/>
      </rPr>
      <t xml:space="preserve">" для формування фонду власних оборотних засобів і засобів обігу </t>
    </r>
  </si>
  <si>
    <t>Благоустрій території в районі встановлення пам’ятника Роману Шухевичу на вул. Шухевичів</t>
  </si>
  <si>
    <t>Капітальний ремонт тризубу на вул. Незалежності</t>
  </si>
  <si>
    <t>Заміна вікон на сходових маршах (3 під’їзд) но вул. Галицька, 147</t>
  </si>
  <si>
    <t>Капітальний ремонт даху (2 під'їзд) на вул. Витвицького, 28</t>
  </si>
  <si>
    <t>Заміна вхідних дверей в житловому будинку на вул. Карпатської Січі, 6а в м. Івано-Франківськ. (Капітальний ремонт)</t>
  </si>
  <si>
    <t>Будівництво вул. Проектна 1 (від вул. Хіміків до вул. Проектна 2) в м-ні №4 по вул. Хіміків-Тролейбусна м. Івано-Франківськ (ПВР)</t>
  </si>
  <si>
    <t xml:space="preserve">Забезпечення діяльності інших закладів в галузі культури і мистецтва </t>
  </si>
  <si>
    <t>0829</t>
  </si>
  <si>
    <t>4081</t>
  </si>
  <si>
    <t>Придбання сканера</t>
  </si>
  <si>
    <t>1917421</t>
  </si>
  <si>
    <t>7421</t>
  </si>
  <si>
    <t>0453</t>
  </si>
  <si>
    <t xml:space="preserve">Утримання та розвиток наземного електротранспорту </t>
  </si>
  <si>
    <t>Капітальний ремонт пологового будинку</t>
  </si>
  <si>
    <t>Покращення матеріально-технічної бази для ЗШ №5</t>
  </si>
  <si>
    <t>Придбання комп’ютерної техніки</t>
  </si>
  <si>
    <t>0611150</t>
  </si>
  <si>
    <t>1150</t>
  </si>
  <si>
    <t xml:space="preserve">Методичне забезпечення діяльності навчальних закладів </t>
  </si>
  <si>
    <t>Заміна вікон на сходових клітках в житловому будинку на вул. Чорновола,115 (6-й під’їзд) в м. Івано-Франківськ. (Капітальний ремонт)</t>
  </si>
  <si>
    <t>Заміна вхідних дверей в житловому будинку на вул. Чорновола,115 (6-й під’їзд) в м. Івано-Франківськ. (Капітальний ремонт)</t>
  </si>
  <si>
    <t>ЦМКЛ придбання електрокардіографа у кардіологічне відділення</t>
  </si>
  <si>
    <t>Придбання у комунальну власність територіальної громади м. Івано-Франківська 88/100 майнових прав на цокольне приміщення в будинку на вул. Софіївка, 39А</t>
  </si>
  <si>
    <t>Управління архітектури, дизайну та містобудівної діяльності</t>
  </si>
  <si>
    <t>Придбання телевізора для ЗОШ І-ІІІ ступенів №10</t>
  </si>
  <si>
    <t>Виконання ПВР «Нове будівництво магістральної тепломережі від котельні на вул. Матейки, 34 в м. Івано-Франківську</t>
  </si>
  <si>
    <t>Виконання ПВР «Нове будівництво магістральної тепломережі від котельні на вул. Незалежності, 95а в м. Івано-Франківську</t>
  </si>
  <si>
    <t>Виконання ПВР «Реконструкція приміщення ЦТП (центрального теплового пункту) на вул. Толстого, 4а, з переоснащенням його в котельню та з реконструкцією існуючих теплових мереж в м. Івано-Франківську</t>
  </si>
  <si>
    <t>Реконструкція вул. Є Коновальця в м. Івано-Франківську</t>
  </si>
  <si>
    <t>Капітальний ремонт даху будинку №6 на пл. Міцкевича</t>
  </si>
  <si>
    <t>Субвенція на нове будівництво каплички в урочищі Рінь с.Хриплин Івано-Франківської міської ради</t>
  </si>
  <si>
    <t>Субвенція на особи з особливими освітніми потребами у закладах дошкільної освіти</t>
  </si>
  <si>
    <t>Субвенція на надання державної підтримки особам з особливими освітніми потребами у 2019 році</t>
  </si>
  <si>
    <t>0218240</t>
  </si>
  <si>
    <t>8240</t>
  </si>
  <si>
    <t>Заходи та роботи з територіальної оборони</t>
  </si>
  <si>
    <t>Цільова програма фінансування мобілізаційних заходів та оборонної роботи Івано-Франківської міської ради на 2019 рік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</si>
  <si>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</si>
  <si>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</si>
  <si>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</si>
  <si>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державному бюджету на виконання програм соціально-економічного розвитку регіонів (Програма поліпшення сервісу обслуговування платників податків на 2019 рік для Головного управління Державної фіскальної служби в Івано-Франківській області</t>
  </si>
  <si>
    <t>Субвенція на розвиток села Чукалівка</t>
  </si>
  <si>
    <t>Придбання кондиціонерів для ДНЗ №32 «Солов’ятко» (субвенція з с. Угорники)</t>
  </si>
  <si>
    <t>Субвенція з обласного бюджету на будівництво храму "Святителя Василія Великого" УПЦ КП в районі вул.Галицька-Витвицького біля дамби р. Бистриця-Солотвинська в  м. Івано-Франківську (обласна програма «Духовне життя» на 2016 – 2020 роки)</t>
  </si>
  <si>
    <t>Субвенція з обласного бюджету на будівництво храму Всіх Святих Землі Української по вул.Івасюка,2  в м. Івано-Франківську (обласна програма «Духовне життя» на 2016 – 2020 роки)»</t>
  </si>
  <si>
    <t>Субвенція з обласного бюджету на капітальний ремонт (проведення гідроізоляції фундаментів) церкви Святого великомученика Юрія УГКЦ в с.Угорники Івано-Франківської міської ради (обласна програма «Духовне життя» на 2016 – 2020 роки)»</t>
  </si>
  <si>
    <t>Субвенція з обласного бюджету на капітальний ремонт храму "Преображення Господнього" УГКЦ в м. Івано-Франківську (обласна програма «Духовне життя» на 2016 – 2020 роки)»</t>
  </si>
  <si>
    <t>Субвенція з обласного бюджету на капітальний ремонт храму Вознесіння Господнього УГКЦ м. Івано-Франківськ, вул.Чорновола,136а (обласна програма «Духовне життя» на 2016 – 2020 роки)»</t>
  </si>
  <si>
    <t>Субвенція з обласного бюджету на капітальний ремонт храму Різдва Пресвятої Богородиці УАПЦ в с.Хриплин Івано-Франківської міської ради (обласна програма «Духовне життя» на 2016 – 2020 роки)»</t>
  </si>
  <si>
    <t>Субвенція з обласного бюджету на капітальний ремонт храму Святителя Миколая УПЦ КП (м. Івано-Франківськ, вул. Хіміків) (обласна програма «Духовне життя» на 2016 – 2020 роки)»</t>
  </si>
  <si>
    <t>Субвенція з обласного бюджету на капітальний ремонт храму Святого Архистратига Михаїла на вул. Сорохтея,15а в м. Івано-Франківську (обласна програма «Духовне життя» на 2016 – 2020 роки)»</t>
  </si>
  <si>
    <t>Субвенція з обласного бюджету на капітальний ремонт храму Святої Параскеви великомучениці УГКЦ в с.Хриплин Івано-Франківської міської ради (обласна програма «Духовне життя» на 2016 – 2020 роки)»</t>
  </si>
  <si>
    <t>Відновлення асфальтного покриття біля ж/б на вул. Сухомлинського, 4, к.1, к.2, к.3</t>
  </si>
  <si>
    <t>Реконструкція нежитлових приміщень на вул. Залізничній, 22 в м. Івано-Франківську</t>
  </si>
  <si>
    <t>Реконструкція перехрестя вул. Гетьмана Мазепи-Романа Гурика в м.Івано-Франківську</t>
  </si>
  <si>
    <t>Капітальний ремонт вул. Гетьмана Мазепи в м. Івано-Франківську (2-га черга)</t>
  </si>
  <si>
    <t>Капітальний ремонт сходів на вході у Івано-Франківський краєзнавчий музей на пл. Ринок</t>
  </si>
  <si>
    <t>Капітальний ремонт покриття причалу № 3 на міському озері на вул. Г. Мазепи</t>
  </si>
  <si>
    <t>Придбання мотокос для КП "Благоустрій"</t>
  </si>
  <si>
    <t>Придбання мотокоси для КП "Муніципальна дорожня компанія"</t>
  </si>
  <si>
    <t>Придбання мотокоси для КП "Муніципальна інвестиційна управляюча компанія"</t>
  </si>
  <si>
    <t>Будівництво металевої огорожі спеціалізованої школи І-ІІІ ступенів №1 з поглибленим вивчення англійської мови Івано-Франківської міської ради</t>
  </si>
  <si>
    <t xml:space="preserve">Реконструкція з добудовою приміщень Крихівецької ЗОШ І-ІІІ ступенів на вул. 22 Січня, 141А в с. Крихівці Івано-Франківської міської ради </t>
  </si>
  <si>
    <t>1010160</t>
  </si>
  <si>
    <t>0217693</t>
  </si>
  <si>
    <t>7693</t>
  </si>
  <si>
    <t>Інші заходи, пов'язані з економічною діяльністю</t>
  </si>
  <si>
    <t>Міжнародний проект "Управління та використання міської та природної культурної спадщини в містах Дунайського регіону (URBforDAN)в рамках грантової Дунайської транснаціональної програми"</t>
  </si>
  <si>
    <t>Капітальний ремонт даху корпусу №5 ЦМКЛ</t>
  </si>
  <si>
    <t>Благоустрій території біля буд. № 177/1 на вул. Гетьмана Мазепи</t>
  </si>
  <si>
    <t>Придбання художньої літератури для шкільних бібліотек</t>
  </si>
  <si>
    <t>Капітальний ремонт дитячого майданчика на вул. Незалежності, 152, 152А</t>
  </si>
  <si>
    <t>Облаштування зупинок громадського транспорту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</si>
  <si>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"Муніципальна інвестиційна управляюча компанія"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 (для облаштування прибудинкових територій)</t>
    </r>
  </si>
  <si>
    <t>0813221</t>
  </si>
  <si>
    <t>3221</t>
  </si>
  <si>
    <t>1060</t>
  </si>
  <si>
    <t>0813223</t>
  </si>
  <si>
    <t>3223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</si>
  <si>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</si>
  <si>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</si>
  <si>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Придбання проектора та звукового обладнання для Угорницької ЗОШ (субвенція з с. Угорники)</t>
  </si>
  <si>
    <t>Зміцнення матеріально-технічної бази ЗОШ І-ІІ ступенів №10 в м. Івано-Франківську</t>
  </si>
  <si>
    <t>Зміцнення матеріально-технічної бази вищого художнього професійного училища №3 в м. Івано-Франківську</t>
  </si>
  <si>
    <t>Субвенція з обласного бюджету на капітальний ремонт навчально-виховного комплексу "Загальноосвітня школа-ліцей №23 Прикарпатського національного університету імені Василя Стефаника</t>
  </si>
  <si>
    <t>Капітальний ремонт приміщення СШ №5 в м. Івано-Франківськ по вул. І. Франка,19 Івано-Франківської області</t>
  </si>
  <si>
    <t>0717363</t>
  </si>
  <si>
    <t>Придбання медичного обладнання (цифрового рентген апарату) для міської клінічної лікарні №1 міста Івано-Франківськ</t>
  </si>
  <si>
    <t>Придбання книг для бібліотеки с. Крихівці (субвенція з с. Крихівці)</t>
  </si>
  <si>
    <t>Влаштування дитячого ігрового майданчика біля будинку №78 на вул. Івасюка</t>
  </si>
  <si>
    <t>Реконструкція будинків, управління яких здійснюється ОСББ, ОК (Співфінансування)</t>
  </si>
  <si>
    <t>Ремонт фасаду будинку №40 на вул. Грушевського</t>
  </si>
  <si>
    <t>Заміна вхідних дверей та встановлення дашка в буд. №19 на вул. К. Данила</t>
  </si>
  <si>
    <t>Благоустрій території на вул. Грушевського біля стоматологічного корпусу ІФНМУ</t>
  </si>
  <si>
    <t>Заміна вхідних дверей в будинку №184 на вул. Вовчинецькій</t>
  </si>
  <si>
    <t>Встановлення кованого виробу "Робот" у сквері "Первоцвіт"</t>
  </si>
  <si>
    <t>1517322</t>
  </si>
  <si>
    <t>7322</t>
  </si>
  <si>
    <t>Будівництво1 медичних установ та закладів</t>
  </si>
  <si>
    <t>Будівництво консультативно-діагностичного центру з відділенням невідкладної допомоги по вул. Гетьмана Мазепи, 114</t>
  </si>
  <si>
    <t>Будівництво блочно-модульної котельні для забезпечення теплом господарських закладів на вул. Просвіти, в с. Микитинці Івано-Франківської міської ради</t>
  </si>
  <si>
    <t>Капітальний ремонт вул. Козацька</t>
  </si>
  <si>
    <t>Придбання комп’ютерного обладнання для Центрального Народного дому</t>
  </si>
  <si>
    <t>Облаштування паркувальних зон</t>
  </si>
  <si>
    <t>Розробка ПКД на електропостачання болардів</t>
  </si>
  <si>
    <t>0813121</t>
  </si>
  <si>
    <t>3121</t>
  </si>
  <si>
    <t>Утримання та забезпечення діяльності центрів соціальних служб для сім’ї, дітей та молоді</t>
  </si>
  <si>
    <t>Заміна вхідних дверей в житловому будинку на вул. Волошина, 2 в м. Івано-Франківськ. (Капітальний ремонт)</t>
  </si>
  <si>
    <t>Заміна вхідних дверей в житловому будинку на вул. Чорновола, 117 в м. Івано-Франківськ. (Капітальний ремонт)</t>
  </si>
  <si>
    <t>Капітальний ремонт даху в житловому будинку на вул. Чорновола, 117 в м. Івано-Франківськ</t>
  </si>
  <si>
    <t>Капітальний ремонт прибудинкової території та міжбудинкового проїзду по вул. Бельведерська, 12-16</t>
  </si>
  <si>
    <t>Капітальний ремонт прибудинкової території та міжбудинкового проїзду по вул. Кардинала Любомира Гузара, 7А в м. Івано-Франківську</t>
  </si>
  <si>
    <t>Капітальний ремонт прибудинкової території та міжбудинкового проїзду по вул. Галицькій, 132 корпус 1, корпус 2, корпус 3 в м. Івано-Франківську</t>
  </si>
  <si>
    <t>Капітальний ремонт прибудинкової території та міжбудинкового проїзду по вул. Івана Павла ІІ, 12</t>
  </si>
  <si>
    <t>Влаштування благоустрою зупинки громадського транспорту на вул. Є.Коновальця, 313</t>
  </si>
  <si>
    <t>Субвенція на нове будівництво світлофорного об'єкту на виїзді з вулиці Садова на вулицю Набережна ім. В. Стефаника с.  Крихівці</t>
  </si>
  <si>
    <t>Облаштування пристроїв примусового зниження швидкості (лежачих поліцейських)</t>
  </si>
  <si>
    <t>Заміна підвального розгалуження холодного водопостачання в житловому будинку №19а на вул. Нова</t>
  </si>
  <si>
    <t>Капітальний ремонт проїзду до житлового будинку на вул. Чорновола, 128а в м. Івано-Франківськ. (Капітальний ремонт)</t>
  </si>
  <si>
    <t>Капітальний ремонт міжбудинкових проїздів та прибудинкових територій на вул. Коновальця, 121, Слави Стецько, 2</t>
  </si>
  <si>
    <t>Капітальний ремонт тротуару на вул. Симоненка (на ділянці від вул. Миколайчука до вул. 24 Серпня)</t>
  </si>
  <si>
    <t>Капітальний ремонт скверу на вул. Грюнвальдській</t>
  </si>
  <si>
    <t>Встановлення антипаркувальних стовпчиків на вул. Симоненка (на ділянці від вул. Миколайчука до вул. 24 Серпня)</t>
  </si>
  <si>
    <t>Капітальний ремонт міжбудинкових проїздів та прибудинкових територій на вул. Симоненка, 9-11-13</t>
  </si>
  <si>
    <t>Капітальний ремонт міжбудинкового проїзду та прибудинкової території на вул. Сахарова, 30</t>
  </si>
  <si>
    <t>Капітальний ремонт міжбудинкових проїздів і прибудинкових територій біля будинків № 2, 4, 6, 8 на вул. Симоненка</t>
  </si>
  <si>
    <t>Капітальний ремонт міжбудинкового проїзду та прибудинкової території на вул. Коновальця, 130А</t>
  </si>
  <si>
    <t>Капітальний ремонт міжбудинкових проїздів та прибудинкових територій на вул. Чорновола, 142-144</t>
  </si>
  <si>
    <t>Капітальний ремонт міжбудинкових проїздів та прибудинкових територій на вул. Хоткевича, 65А, 65, 67</t>
  </si>
  <si>
    <t>Капітальний ремонт міжбудинкового проїзду та прибудинкової території на Північному бульварі, 10 , 12</t>
  </si>
  <si>
    <t>Реконструкція частини будівлі ЗШ №2 під фізкультурно-оздоровчі приміщення (вул. Гетьмана Дорошенка,29)</t>
  </si>
  <si>
    <t>Капітальний ремонт благоустрою території ДНЗ №1 (вул. Вовчинецька, 9)</t>
  </si>
  <si>
    <r>
      <t xml:space="preserve">Внески до статутного капіталу суб’єктів господарювання» по об’єкту «Внески в статутний фонд </t>
    </r>
    <r>
      <rPr>
        <b/>
        <sz val="14"/>
        <rFont val="Times New Roman"/>
        <family val="1"/>
        <charset val="204"/>
      </rPr>
      <t xml:space="preserve">КП "Центр розвитку міста та рекреації"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</t>
    </r>
  </si>
  <si>
    <t>Субвенція з Івано-Франківського місцевого бюджету обласному бюджету на придбання ангіографічного обладнання для комунального некомерційного підприємства «Центральна міська клінічна лікарня Івано-Франківської міської ради</t>
  </si>
  <si>
    <t>Виготовлення проектно-Кошторисної документації добудови корпусу початкових класів СШ №11</t>
  </si>
  <si>
    <t>Капітальний ремонт СШ №11</t>
  </si>
  <si>
    <t>Для Івано-Франківської загальноосвітньої школи I—III ступенів №4 Івано-Франківської міської ради Івано-Франківської області</t>
  </si>
  <si>
    <t>Для Івано-Франківської загальноосвітньої школи I—III ступенів №28 Івано-Франківської міської ради Івано-Франківської області</t>
  </si>
  <si>
    <t>Для Івано-Франківського навчально-виховного комплексу “Школа-гімназія №3” I—III ступенів</t>
  </si>
  <si>
    <t>Закупівля медичного обладнання (в тому числі магнітно-резонансного томографа) для Івано-Франківської міської клінічної лікарні №1, м. Івано-Франківськ</t>
  </si>
  <si>
    <t>Закупівля медичного обладнання для Івано-Франківської центральної міської клінічної лікарні, м. Івано-Франківськ, вул. Гетьмана Мазепи, 114</t>
  </si>
  <si>
    <t>В. Синишин</t>
  </si>
  <si>
    <t>1917363</t>
  </si>
  <si>
    <t>3110180</t>
  </si>
  <si>
    <t>Будівництво блочно-модульної котельні для забезпечення теплом господарських закладів на вул. Просвіти, в с. Микитинці Івано-Франківської міської ради (субвенція з с. Микитинці)</t>
  </si>
  <si>
    <t>Експертне обстеження будівлі Івано-Франківської ЗОШ І-ІІІ ступенів №19</t>
  </si>
  <si>
    <t xml:space="preserve">Фінансова підтримка культово-релігійним громадам </t>
  </si>
  <si>
    <t>Реконструкція нежитлових приміщень під службові приміщення, розташованих на шостому поверсі в будинку на вул. Незалежності, 9 в м. Івано-Франківську</t>
  </si>
  <si>
    <t>Будівництво світлофорного об'єкту на перехресті вул. Хіміків - Галицька</t>
  </si>
  <si>
    <t>1910180</t>
  </si>
  <si>
    <t>Придбання обладнання та програмного забезпечення КП «Електроавтотрансу» для запровадження автоматизованої системи оплати проїзду</t>
  </si>
  <si>
    <t>Заміна вхідних дверей в житловому будинку на вул. Софії Галечко, 7 в м. Івано-Франківськ. (Капітальний ремонт)</t>
  </si>
  <si>
    <t>Заміна вікон на сходових клітках в житловому будинку на вул. Чорновола, 119 в м. Івано-Франківськ. (Капітальний ремонт)</t>
  </si>
  <si>
    <t>грн.</t>
  </si>
  <si>
    <t>Управління охорони здоров'я</t>
  </si>
  <si>
    <t>0180</t>
  </si>
  <si>
    <t>0111</t>
  </si>
  <si>
    <t>2010</t>
  </si>
  <si>
    <t>0731</t>
  </si>
  <si>
    <t>Багатопрофільна стаціонарна медична допомога населенню</t>
  </si>
  <si>
    <t>0733</t>
  </si>
  <si>
    <t>Лікарсько-акушерська допомога  вагітним, породіллям та новонародженим</t>
  </si>
  <si>
    <t>0721</t>
  </si>
  <si>
    <t>Виконавчий комітет міської ради</t>
  </si>
  <si>
    <t>0490</t>
  </si>
  <si>
    <t>Внески до статутного капіталу суб’єктів господарювання</t>
  </si>
  <si>
    <t>0133</t>
  </si>
  <si>
    <t>1010</t>
  </si>
  <si>
    <t>0910</t>
  </si>
  <si>
    <t>1020</t>
  </si>
  <si>
    <t>0921</t>
  </si>
  <si>
    <t>0810</t>
  </si>
  <si>
    <t>1100000</t>
  </si>
  <si>
    <t>Департамент молодіжної політики та спорту виконавчого комітету міської ради</t>
  </si>
  <si>
    <t>1110000</t>
  </si>
  <si>
    <t>Департамент соціальної політики виконавчого комітету міської ради</t>
  </si>
  <si>
    <t>Департамент культури виконавчого комітету міської ради</t>
  </si>
  <si>
    <t>0828</t>
  </si>
  <si>
    <t>Департамент житлової, комунальної політики та благоустрою виконавчого комітету міської ради</t>
  </si>
  <si>
    <t>0620</t>
  </si>
  <si>
    <t>Управління капітального будівництва виконавчого комітету міської ради</t>
  </si>
  <si>
    <t>Департамент містобудування, архітектури та культурної спадщини виконавчого комітету міської ради</t>
  </si>
  <si>
    <t>Управління транспорту та зв'язку</t>
  </si>
  <si>
    <t>Фінансове управління виконавчого комітету міської ради</t>
  </si>
  <si>
    <t>Всього капітальних вкладень:</t>
  </si>
  <si>
    <t>4060</t>
  </si>
  <si>
    <t>Капітальний ремонт приміщення</t>
  </si>
  <si>
    <t>Департамент освіти та науки виконавчого комітету міської ради</t>
  </si>
  <si>
    <t>3031</t>
  </si>
  <si>
    <t>1030</t>
  </si>
  <si>
    <t>9770</t>
  </si>
  <si>
    <t>Інші субвенції з місцевого бюджету</t>
  </si>
  <si>
    <t>0200000</t>
  </si>
  <si>
    <t>0210000</t>
  </si>
  <si>
    <t>0217670</t>
  </si>
  <si>
    <t>7670</t>
  </si>
  <si>
    <t>Інша діяльність у сфері державного управління</t>
  </si>
  <si>
    <t>Бюджет розвитку</t>
  </si>
  <si>
    <t>Разом по бюджету розвитку:</t>
  </si>
  <si>
    <t>Надання інших пільг окремим категоріям громадян відповідно до законодавства</t>
  </si>
  <si>
    <t>Субвенція на капітальний ремонт території с. Микитинці</t>
  </si>
  <si>
    <t>Субвенція на капітальний ремонт території с. Угорники</t>
  </si>
  <si>
    <t>Субвенція на капітальний ремонт території с.  Крихівці</t>
  </si>
  <si>
    <t>Субвенція на капітальний ремонт території с. Вовчинці</t>
  </si>
  <si>
    <t>1517310</t>
  </si>
  <si>
    <t>7310</t>
  </si>
  <si>
    <t>0443</t>
  </si>
  <si>
    <t>Будівництво1 об'єктів житлово-комунального господарства</t>
  </si>
  <si>
    <t>0600000</t>
  </si>
  <si>
    <t>0610000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</si>
  <si>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</si>
  <si>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</si>
  <si>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</si>
  <si>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0700000</t>
  </si>
  <si>
    <t>0710000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</si>
  <si>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</si>
  <si>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</si>
  <si>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0712010</t>
  </si>
  <si>
    <t>2030</t>
  </si>
  <si>
    <t>2080</t>
  </si>
  <si>
    <t>0800000</t>
  </si>
  <si>
    <t>0810000</t>
  </si>
  <si>
    <t>0810160</t>
  </si>
  <si>
    <t>0813031</t>
  </si>
  <si>
    <t>Забезпечення діяльності палаців i будинків культури, клубів, центрів дозвілля та iнших клубних закладів</t>
  </si>
  <si>
    <t>Експлуатація та технічне обслуговування житлового фонду</t>
  </si>
  <si>
    <t>6011</t>
  </si>
  <si>
    <t>1216030</t>
  </si>
  <si>
    <t>6030</t>
  </si>
  <si>
    <t>Організація благоустрою населених пунктів</t>
  </si>
  <si>
    <t>1216011</t>
  </si>
  <si>
    <t>1217310</t>
  </si>
  <si>
    <t>1217670</t>
  </si>
  <si>
    <t>7321</t>
  </si>
  <si>
    <t>Будівництво1 освітніх установ та закладів</t>
  </si>
  <si>
    <t>7324</t>
  </si>
  <si>
    <t>Будівництво1 установ та закладів культури</t>
  </si>
  <si>
    <t>7325</t>
  </si>
  <si>
    <t>Будівництво1 споруд, установ та закладів фізичної культури і спорту</t>
  </si>
  <si>
    <t>1517321</t>
  </si>
  <si>
    <t>1517324</t>
  </si>
  <si>
    <t>1517325</t>
  </si>
  <si>
    <t>1517330</t>
  </si>
  <si>
    <t>7330</t>
  </si>
  <si>
    <t>1511010</t>
  </si>
  <si>
    <t>1511020</t>
  </si>
  <si>
    <t>1512010</t>
  </si>
  <si>
    <t>1512030</t>
  </si>
  <si>
    <t>1516030</t>
  </si>
  <si>
    <t>1517340</t>
  </si>
  <si>
    <t>7340</t>
  </si>
  <si>
    <t>Проектування, реставрація та охорона пам'яток архітектури</t>
  </si>
  <si>
    <t>1600000</t>
  </si>
  <si>
    <t>1610000</t>
  </si>
  <si>
    <t>1617340</t>
  </si>
  <si>
    <t>1900000</t>
  </si>
  <si>
    <t>1910000</t>
  </si>
  <si>
    <t>1910160</t>
  </si>
  <si>
    <t>1916030</t>
  </si>
  <si>
    <t>1917310</t>
  </si>
  <si>
    <t>1917670</t>
  </si>
  <si>
    <t>3700000</t>
  </si>
  <si>
    <t>3710000</t>
  </si>
  <si>
    <t>3710160</t>
  </si>
  <si>
    <t>3719770</t>
  </si>
  <si>
    <t>Додаток 6</t>
  </si>
  <si>
    <t>до рішення___сесії міської ради</t>
  </si>
  <si>
    <t>від ____________№_____</t>
  </si>
  <si>
    <t xml:space="preserve">Секретар міської ради </t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</si>
  <si>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КП "Електроавтотранс"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 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</si>
  <si>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"Муніципальна варта"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</si>
  <si>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Амбулаторно-поліклінічна допомога населенню, крім первинної медичної допомоги</t>
  </si>
  <si>
    <t>5041</t>
  </si>
  <si>
    <t>Утримання та фінансова підтримка спортивних споруд</t>
  </si>
  <si>
    <t xml:space="preserve">Проект НЕФКО "Підвищення енергоефективності об'єктів бюджетної сфери м.Івано-Франківська"(кредитні кошти) 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</si>
  <si>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</si>
  <si>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</si>
  <si>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</si>
  <si>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</si>
  <si>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бюджету/відповідного виконавця, найменування бюджетної програми/підпрограми згідно з Типовою програмною класифікаціїю видатків та кредитування місцевих бюджетів</t>
  </si>
  <si>
    <t>Назва об'єкта відповідно до проектно-кошторисної документації</t>
  </si>
  <si>
    <t>Придбання обладнання та комп'ютерної техніки</t>
  </si>
  <si>
    <t>Придбання велосипедів</t>
  </si>
  <si>
    <t>Придбання, встановлення, підключення електронного табло</t>
  </si>
  <si>
    <t>Придбання болардів</t>
  </si>
  <si>
    <t>Придбання світлофорів переносних</t>
  </si>
  <si>
    <t>Придбання громадських вбиралень на кінцевих зупинках</t>
  </si>
  <si>
    <t>Закупівля озвучення в громадському транспорті</t>
  </si>
  <si>
    <t>Придбання урн на зупинки</t>
  </si>
  <si>
    <t>Придбання та встановлення сферичного дзеркала</t>
  </si>
  <si>
    <t xml:space="preserve">Облаштування громадської вбиральні </t>
  </si>
  <si>
    <t>Підключення до зовнішніх мереж вбиральні</t>
  </si>
  <si>
    <t>Монтаж нових та заміна старих дорожніх знаків та вказівників вулиць</t>
  </si>
  <si>
    <t>Нанесення дорожньої розмітки</t>
  </si>
  <si>
    <t xml:space="preserve">Облаштування освітлення нерегульованих переходів </t>
  </si>
  <si>
    <t>Влаштування антикишені</t>
  </si>
  <si>
    <t>Влаштування острівців безпеки</t>
  </si>
  <si>
    <t xml:space="preserve">Облаштування зупинок громадського транспорту </t>
  </si>
  <si>
    <t>Розробка паспортів парковок</t>
  </si>
  <si>
    <t>Розробка проектної документації «Схеми організації дорожнього руху»</t>
  </si>
  <si>
    <t>Розробка схем розташування зупинок громадського транспорту</t>
  </si>
  <si>
    <t>Монтаж закладних для встановлення електронного табло</t>
  </si>
  <si>
    <t xml:space="preserve">Підключення та обслуговування електронних табло на в'їздах в місто </t>
  </si>
  <si>
    <t>Встановлення електронних табло з температурними датчиками, датчиками руху, світловою інформацією</t>
  </si>
  <si>
    <t>Виготовлення та ремонт інформаційних табличок</t>
  </si>
  <si>
    <t>Будівництво світлофорного об'єкту на перехресті вул Галицька-Горбачевського–Калуське шосе</t>
  </si>
  <si>
    <t>Будівництво світлофорного об'єкту на перехресті вул. Коновальця - Сорохтея</t>
  </si>
  <si>
    <t>Будівництво світлофорного об'єкту на перехресті вул. Коновальця – Василишина-О.Довбуша (поворот на Чукалівку)</t>
  </si>
  <si>
    <t>Будівництво світлофорного об'єкту на перехресті вул. Довженка - Сухомлинського (навпроти маг. «Заравшан») (благоустрій)</t>
  </si>
  <si>
    <t>Будівництво світлофорного об'єкту на перехресті набережна ім. Стефаника -Кармелюка</t>
  </si>
  <si>
    <t>Будівництво світлофорного об'єкту на перехресті вул.Гординського - Чорновола - Сахарова</t>
  </si>
  <si>
    <t>0960</t>
  </si>
  <si>
    <t>2700000</t>
  </si>
  <si>
    <t>2710000</t>
  </si>
  <si>
    <t>1610160</t>
  </si>
  <si>
    <t>0210180</t>
  </si>
  <si>
    <t xml:space="preserve">Капітальний ремонт, реконструкція та реставрація </t>
  </si>
  <si>
    <t>Придбання комп'ютерної техніки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</si>
  <si>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</si>
  <si>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</si>
  <si>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</si>
  <si>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Департамент комунальних ресурсів</t>
  </si>
  <si>
    <t>3110000</t>
  </si>
  <si>
    <t>3110160</t>
  </si>
  <si>
    <t>Капітальний ремонт житла особам з інвалідністю внаслідок війни</t>
  </si>
  <si>
    <t>3710180</t>
  </si>
  <si>
    <t>0216086</t>
  </si>
  <si>
    <t>Викуп земельної ділянки в Хриплинській промзоні</t>
  </si>
  <si>
    <t>6086</t>
  </si>
  <si>
    <t>0610</t>
  </si>
  <si>
    <t>Інша діяльність щодо забезпечення житлом громадян</t>
  </si>
  <si>
    <t>1517370</t>
  </si>
  <si>
    <t>Реалізація інших заходів щодо соціально-економічного розвитку територій</t>
  </si>
  <si>
    <t>7370</t>
  </si>
  <si>
    <t>Програма "Освіта міста Івано-Франківська 2016-2020 роки"</t>
  </si>
  <si>
    <t>Капітальний ремонт лікарень міста</t>
  </si>
  <si>
    <t>Капітальний ремонт закладів культури</t>
  </si>
  <si>
    <t>Надання поворотної або безповоротної фінансової допомоги ПрАТ «Івано-Франківський локомотиворемонтний завод»</t>
  </si>
  <si>
    <t>Викуп земельних ділянок під кладовище у с. Чукалівка</t>
  </si>
  <si>
    <t>Капітальний ремонт об'єктів благоустрою</t>
  </si>
  <si>
    <t>Придбання сучасних меблів та комп’ютерного обладнання на забезпечення якісної, сучасної та доступної загальної середньої освіти «Нова українська школа»</t>
  </si>
  <si>
    <t>Будівництво об'єктів житлово-комунального господарства</t>
  </si>
  <si>
    <t>Управління економічного та інтеграційного розвитку</t>
  </si>
  <si>
    <t>Придбання основних засобів</t>
  </si>
  <si>
    <t>Розвиток комунального транспорту</t>
  </si>
  <si>
    <t>Утримання та розвиток автотранспорту</t>
  </si>
  <si>
    <t>1917411</t>
  </si>
  <si>
    <t>0451</t>
  </si>
  <si>
    <t>7411</t>
  </si>
  <si>
    <t>Будівництво моста через річку Бистриця Солотвинська та транспортної розв'язки в районі вул. Хіміків - Надрічна /ПВР + роботи/ (ІІІ черга – «Будівництво моста через річку Бистриця Солотвинська в районі вул. Хіміків - Надрічна /ПВР + роботи/»)</t>
  </si>
  <si>
    <t>0210160</t>
  </si>
  <si>
    <t>Встановлення апаратів I-box для запровадження електронної черги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</si>
  <si>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</si>
  <si>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</si>
  <si>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</si>
  <si>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0900000</t>
  </si>
  <si>
    <t>Служба у справах дітей виконавчого комітету міської ради</t>
  </si>
  <si>
    <t>0910000</t>
  </si>
  <si>
    <t>0910160</t>
  </si>
  <si>
    <t>Придбання комп’ютерної техніки та периферійного обладнання</t>
  </si>
  <si>
    <t>Капітальний ремонт приміщень</t>
  </si>
  <si>
    <t>1617330</t>
  </si>
  <si>
    <t>Виготовлення пам'ятників</t>
  </si>
  <si>
    <t>Міська цільова програма будівництва (придбання) доступного житла та молодіжного кредитування в місті Івано-Франківську на 2018-2022 роки"</t>
  </si>
  <si>
    <t>2710160</t>
  </si>
  <si>
    <t>Програма фінансової підтримки громадських організацій фізкультурно-спортивного спрямування, спортивних клубів та федерацій з видів спорту міста Івано-Франківська на   2015-2019 роки</t>
  </si>
  <si>
    <t>0218220</t>
  </si>
  <si>
    <t>8220</t>
  </si>
  <si>
    <t>0380</t>
  </si>
  <si>
    <t>Заходи та роботи з мобілізаційної підготовки місцевого значення</t>
  </si>
  <si>
    <t>Капітальний ремонт цокольного приміщення по вул. Січових Стрільців, 15</t>
  </si>
  <si>
    <t>0611010</t>
  </si>
  <si>
    <t>Капітальний ремонт дошкільних навчальних закладів</t>
  </si>
  <si>
    <t>Капітальний ремонт закладів освіти</t>
  </si>
  <si>
    <t>0712030</t>
  </si>
  <si>
    <t>0712080</t>
  </si>
  <si>
    <t>т Реставрація фасаду житлового будинку №44 по вул. Шевченка в м. Івано-Франківську(закінчення робіт)</t>
  </si>
  <si>
    <t>т Реставрація фасадів будинків по вул.. Л. Курбаса, 5,7,9 (закінчення робіт)</t>
  </si>
  <si>
    <t xml:space="preserve">Розробка ПКД з реставрації  будинку №30 по вул. Новгородській </t>
  </si>
  <si>
    <t>Капітальний ремонт вулиць (доріг) міста</t>
  </si>
  <si>
    <t>Капітальний ремонт прибудинкових територій та міжбудинкових проїздів</t>
  </si>
  <si>
    <t>Капітальний ремонт тротуарів та пішохідних доріжок</t>
  </si>
  <si>
    <t>Капітальний ремонт об'єктів водопровідно-каналізаційного господарства</t>
  </si>
  <si>
    <t>Капітальний ремонт інших об'єктів благоустрою міста</t>
  </si>
  <si>
    <t>Капітальний ремонт скверів (парків)</t>
  </si>
  <si>
    <t>Встановлення контейнерів для роздільного збору сміття та капітальний ремонт контейнерних майданчиків</t>
  </si>
  <si>
    <t>Влаштування газонів та клумб</t>
  </si>
  <si>
    <t>Забезпечення вільного доступу людей з обмеженими можливостями</t>
  </si>
  <si>
    <t>Влаштування "острівців безпеки" та організація дорожнього руху на вулицях міста</t>
  </si>
  <si>
    <t>Проектні роботи та експертиза проектів</t>
  </si>
  <si>
    <t>Встановлення лавок, урн та інших МАФ</t>
  </si>
  <si>
    <t>Реконструкція площі перед стоматкорпусом ІФНМУ на вул. Незалежності з улаштуванням фонтанів</t>
  </si>
  <si>
    <t>Капітальний ремонт тротуарів з влаштуванням велодоріжок</t>
  </si>
  <si>
    <t>Капітальний ремонт будинків, управління яких здійснюється ОСББ, ОК (Співфінансування)</t>
  </si>
  <si>
    <t>Влаштування модульних громадських вбиралень</t>
  </si>
  <si>
    <t>Освітлення фасадів</t>
  </si>
  <si>
    <t>Капітальний ремонт об'єктів зовнішнього освітлення міста</t>
  </si>
  <si>
    <t>Виготовлення проектів будівництва та реконструкції котелень</t>
  </si>
  <si>
    <t>1511070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</si>
  <si>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</si>
  <si>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</si>
  <si>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</si>
  <si>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Електропостачання та пусконаладка ІТП в навчально-реабілітаційному центрі по вул. Хоткевича, 52 (нефко)</t>
  </si>
  <si>
    <t>Капітальний ремонт приміщень комунального некомерційного підприємства "Івано-Франківський міський клінічний перинатальний центр"</t>
  </si>
  <si>
    <t>Капітальний ремонт спортивного залу Муніципального Центру дозвілля по вул. Набережній ім. В. Стефаника, 42 в м. Івано-Франківську</t>
  </si>
  <si>
    <t>Капітальний ремонт об'єктів транспортної інфраструктури міста</t>
  </si>
  <si>
    <t>Капітальний ремонт об'єктів комунального господарства</t>
  </si>
  <si>
    <t xml:space="preserve">Капітальний ремонт міжбудинкових проїздів та прибункових територій  </t>
  </si>
  <si>
    <t>Капітальний ремонт інших об'єктів</t>
  </si>
  <si>
    <t>Капітальний ремонт  вул. Вовчинецької (на ділянці від вул. Дучимінської до вул.Симеренка)</t>
  </si>
  <si>
    <t>Капітальний ремонт вул Січинського</t>
  </si>
  <si>
    <t xml:space="preserve">Капітальний ремонт вул. Військових Ветеранів </t>
  </si>
  <si>
    <t xml:space="preserve">Капітальний ремонт вул. Галицької (від роз'їзду на Калуське шосе до вул. Хіміків) </t>
  </si>
  <si>
    <t>Капітальний ремонт вул. Макогона (ПВР+ роботи)</t>
  </si>
  <si>
    <t>Капітальний ремонт вул. Надрічна (старої частини) в м. Івано-Франківську</t>
  </si>
  <si>
    <t>Капітальний ремонт вул. Підгірянки (на ділянці від вул. Стефаника до вул. Незалежності) (ПВР+ роботи)</t>
  </si>
  <si>
    <t xml:space="preserve">Капітальний ремонт вул. Ушинського </t>
  </si>
  <si>
    <t>Капітальний ремонт вул. Софіївка</t>
  </si>
  <si>
    <t>Капітальний ремонт вул. Левинського (ПВР+роботи)</t>
  </si>
  <si>
    <t>Капітальний ремонт пішохідної зони на вул. В.Стуса</t>
  </si>
  <si>
    <t>Капітальний ремонт прилеглої території до озера розташованого  поруч із ЗШ №21 та його очищення</t>
  </si>
  <si>
    <t>Капітальний ремонт нежитлових приміщень в буд.№89 на вул.Незалежності (АМУ) (ПВР+роботи)</t>
  </si>
  <si>
    <t>Капітальний ремонт приміщення міського центру освітніх інновацій по вул. Незалежності, 36 (ПВР+роботи)</t>
  </si>
  <si>
    <t xml:space="preserve">Будівництво вул. 24 Серпня </t>
  </si>
  <si>
    <t>Будівництво вулиці Стуса на ділянці від вул. Миколайчука до вул. 24 Серпня</t>
  </si>
  <si>
    <t>Будівництво дитячих та спортивних майданчиків (на виконання програми будівництва, реконструкції, капітального ремонту малих архітектурних форм дитячих спортивних та ігрових майданчиків в мікрорайонах та освітніх закладах м. Івано-Франківська на 2017-2020 роки)</t>
  </si>
  <si>
    <t>Будівництво каналізаційної мережі в селі Угорники Івано-Франківської міської ради  (ПВР+роботи)</t>
  </si>
  <si>
    <t>Будівництво каналізаційної мережі в селі Хриплин Івано-Франківської міської ради  (ПВР+роботи)</t>
  </si>
  <si>
    <t>Будівництво комплексного спортивного майданчика з полями для ігрових видів спорту в районі вулиць Симоненка, 3в – Вовчинецька, 202 (ПВР+роботи)</t>
  </si>
  <si>
    <t>Будівництво моста через річку Бистриця Солотвинська та транспортної розв'язки в районі вул. Хіміків - Надрічна /ПВР + роботи/ (ІІ черга – «Будівництво вулиці Хіміків на ділянці від ЗОШ № 24 до річки Бистриця Солотвинська в м. Івано-Франківську /ПВР + роботи/»)</t>
  </si>
  <si>
    <t>Будівництво моста через річку Бистриця Солотвинська та транспортної розв'язки в районі вул. Хіміків - Надрічна /ПВР + роботи/ ( І черга – «Будівництво транспортної розв’язки по вул. Надрічна в м. Івано-Франківську /ПВР + роботи/»)</t>
  </si>
  <si>
    <t>Будівництво скверу на вул. Січових Стрільців, 78 в м. Івано-Франківську</t>
  </si>
  <si>
    <t>Нове будівництво  парку в межах вул. Хіміків-Целевича - під соціальний простір (ПВР+роботи)</t>
  </si>
  <si>
    <t>Нове будівництво господ.-побут. та дощового колекторів в мікрорайоні №7 в межах вул.Калуське шосе-Горбачевського-Ціолковського</t>
  </si>
  <si>
    <t>Реконструкція вул. Івасюка з влаштуванням велодоріжки (ПВР)</t>
  </si>
  <si>
    <t>Реконструкція перехрестя Івасюка-Незалежності-Микитинецька</t>
  </si>
  <si>
    <t>Реконструкція фізкультурно-оздоровчого комплексу "Електрон" по вул. С. Бандери, 12А в м. Івано-Франківську (ПВР+ роботи)</t>
  </si>
  <si>
    <t xml:space="preserve">Тролейбусна лінія "вул. Мазепи-Південний бульвар-Північний бульвар в м. Івано-Франківську. Нове будівництво." (ПВР) </t>
  </si>
  <si>
    <t xml:space="preserve">Тролейбусна лінія "вул. Січових Стрільців-Новгородська в м. Івано-Франківську. Нове будівництво." (ПВР) </t>
  </si>
  <si>
    <t>Капітальний ремонт мереж зовнішнього освітлення дворових територій ЗШ та ДНЗ</t>
  </si>
  <si>
    <t>Будівництво доріг</t>
  </si>
  <si>
    <t>Комунальні об'єкти</t>
  </si>
  <si>
    <t>Реконструкція об'єктів транспортної інфраструктури міста</t>
  </si>
  <si>
    <t xml:space="preserve">Реконструкція інших об'єктів </t>
  </si>
  <si>
    <t>Будівництво дит. садка в с. Микитинці</t>
  </si>
  <si>
    <t>Будівництво дитячого садка в м-ні "Каскад" (ПВР+роботи)</t>
  </si>
  <si>
    <t>Дитячий садок в с. Крихівці Івано-Франківської міської ради (нове будівництво)</t>
  </si>
  <si>
    <t>Нове будівництво дитячого садка в районі магазину "Епіцентр" в м. Івано-Франківську (ПВР)</t>
  </si>
  <si>
    <t>Нове будівництво дошкільного навчального закладу по вул. Чорновола (ПВР)</t>
  </si>
  <si>
    <t>Нове будівництво корпусу ЗШС №6 в м-ні "Пасічна" в м. Івано-Франківську (ПВР+роботи)</t>
  </si>
  <si>
    <t>Нове будівництво футбольного поля стандартних розмірів із синтетичним покриттям та влаштуванням спортивних майданчиків багатофункціонального призначення із штучним покриттям в ЗШ №24</t>
  </si>
  <si>
    <t>Реконструкція будівлі ЗШ № 26 по вул. Шухевичів, 27А в м. Івано-Франківську (ПВР)</t>
  </si>
  <si>
    <t>Реконструкція дитячого садка на вул. Ст. Бандери, 10а в м. Івано-Франківську (ПВР)</t>
  </si>
  <si>
    <t xml:space="preserve">Реконструкція дитячого садочка на вул. Гната Хоткевича, 11-А </t>
  </si>
  <si>
    <t>Реконструкція приміщення тиру в ЗОШ №4 на Південному бульварі, 24 в м. Івано-Франківську (ПВР)</t>
  </si>
  <si>
    <t xml:space="preserve">Розширення загальноосвітньої школи І-ІІ ступенів в с. Хриплин   (І п.к.) </t>
  </si>
  <si>
    <t>Будівництво</t>
  </si>
  <si>
    <t>Реконструкція</t>
  </si>
  <si>
    <t>Реконструкція Народного дому в селі Угорники Івано-Франківської міської ради</t>
  </si>
  <si>
    <t>Будівництво басейну в ФОК</t>
  </si>
  <si>
    <t>Проект НЕФКО "Підвищення енергоефективності об'єктів бюджетної сфери м.Івано-Франківська" (співфінансування І-й етап)</t>
  </si>
  <si>
    <t>Проект НЕФКО "Підвищення енергоефективності об'єктів бюджетної сфери м.Івано-Франківська" (співфінансування ІІ-й етап)</t>
  </si>
  <si>
    <t>Ремонт приміщень Центрального народного дому на вул. Тараса Шевченка,1 в м. Івано-Франківську /ремонтно-реставраційні роботи/ (ПВР+роботи)</t>
  </si>
  <si>
    <t>Ремонтно-реставраційні роботи даху та приміщень будинку пам"ятки містобудування і архітектури місцевого значення охоронний №6-іф (колишня жіноча вчительська семінарія 1911р) адмінбудинку на вул.Дністровська,28</t>
  </si>
  <si>
    <t>Ремонтно-реставраційні роботи даху та фасаду приміщень муніципального навчально-виробничого комбінату на вул. Новгородська, 15 пам’ятки архітектури місцевого значення (ПВР+роботи)</t>
  </si>
  <si>
    <t>Ремонтно-реставраційні роботи корпусу № 1 ЗОШ № 7 в м. Івано-Франківську (ПВР+роботи)</t>
  </si>
  <si>
    <t>1617670</t>
  </si>
  <si>
    <t>Капітальний ремонт вул. Крайківського (ПВР+роботи)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</si>
  <si>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</si>
  <si>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</si>
  <si>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</si>
  <si>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0613132</t>
  </si>
  <si>
    <t>3132</t>
  </si>
  <si>
    <t>1040</t>
  </si>
  <si>
    <t>Утримання клубів для підлітків за місцем проживання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</si>
  <si>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</si>
  <si>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</si>
  <si>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</si>
  <si>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Ремонтно-реставраційні роботи з пристосування приміщень будинку ратуші на вул. Галицькій, 4а в місті Івано-Франківську для музею ратуші та інших громадських потреб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</si>
  <si>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"Міська ритуальна служба"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</si>
  <si>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"Дирекція замовника"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 (для модернізації житлового фонду)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</si>
  <si>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"Центр розвитку міста та рекреації"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</si>
  <si>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"Полігон ТПВ"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</t>
    </r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</si>
  <si>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ДМП «Івано-Франківськтеплокомуненерго» </t>
    </r>
    <r>
      <rPr>
        <sz val="14"/>
        <rFont val="Times New Roman"/>
        <family val="1"/>
        <charset val="204"/>
      </rPr>
      <t xml:space="preserve">для формування фонду власних оборотних засобів і засобів обігу   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</si>
  <si>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"Івано-Франківськводоекотехпром"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  <r>
      <rPr>
        <sz val="14"/>
        <color indexed="10"/>
        <rFont val="Times New Roman"/>
        <family val="1"/>
        <charset val="204"/>
      </rPr>
      <t xml:space="preserve"> 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</si>
  <si>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"Івано-Франківськміськсвітло"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</si>
  <si>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"Муніципальна інвестиційна управляюча компанія"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 (для модернізації житлового фонду в тому числі теплова модернізація)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</si>
  <si>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"Дирекція замовника</t>
    </r>
    <r>
      <rPr>
        <sz val="14"/>
        <rFont val="Times New Roman"/>
        <family val="1"/>
        <charset val="204"/>
      </rPr>
      <t>" для формування фонду власних оборотних засобів і засобів обігу (для облаштування прибудинкових територій)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</si>
  <si>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"Муніципальна інвестиційна управляюча компанія"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 (для облаштування прибудинкових територій)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</si>
  <si>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"Благоустрій"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</si>
  <si>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ПрАТ «Івано-Франківський локомотиворемонтний завод»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</si>
  <si>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Капітальний ремонт вул. Гетьмана Мазепи в м. Івано-Франківську (від кільця вул. Набережна ім. Стефаника до вул. Гурика) 1-ша черга</t>
  </si>
  <si>
    <t>Організація дорожнього руху на перехресті вул. Г.Мазепи-Гурика</t>
  </si>
  <si>
    <t>Капітальний ремонт вул. Івана-Павла ІІ</t>
  </si>
  <si>
    <t>Капітальний ремонт вул. Петрушевича</t>
  </si>
  <si>
    <t>Капітальний ремонт вул. Крушельницької</t>
  </si>
  <si>
    <t>Капітальний ремонт вул. Курбаса</t>
  </si>
  <si>
    <t>Реконструкція перехрестя на вул. Довга – Берегова – Північний Бульвар із улаштуванням кільцевого руху в м. Івано-Франківську</t>
  </si>
  <si>
    <t>Капітальний ремонт вулиць та доріг міста (ПКД)</t>
  </si>
  <si>
    <t>Реконструкція даху будинку № 80 на вул. Коновальця в м. Івано-Франківську</t>
  </si>
  <si>
    <t>Капітальний ремонт даху у буд. № 147 на вул. Галицькій (1, 2, 3 під'їзди)</t>
  </si>
  <si>
    <t>Заміна вікон на сходових маршах у буд. № 28 на вул. Витвицького  (1,2 під'їзди)</t>
  </si>
  <si>
    <t>Реконструкція внутрішньобудинкових мереж електропостачання ж/б № 9а на вул. Довженка в м. ІФ</t>
  </si>
  <si>
    <t>Реконструкція внутрішньобудинкових мереж електропостачаня ж/б № 134 на вул. Галицькій в м. Івано-Франківську</t>
  </si>
  <si>
    <t>Викуп приміщень</t>
  </si>
  <si>
    <t>Капітальний ремонт проходу від площі Привокзальної до буд. № 3 на вул. Привокзальній</t>
  </si>
  <si>
    <t>Благоустрій території майданчика біля буд. № 179 на вул. Гетьмана Мазепи</t>
  </si>
  <si>
    <t>Капітальний ремонт проїзду на вул. Шевченка, 101</t>
  </si>
  <si>
    <t>Благоустрій території на розі вулиць Сухомлинського - Довженка</t>
  </si>
  <si>
    <t>Благоустрій зеленої зони в Опришівцях на розі вул. Челюскінців - Джерельна із встановленням дитячого майданчика</t>
  </si>
  <si>
    <t>Влаштування бетонної відмостки біля буд. № 2 на вул. Гарбарській</t>
  </si>
  <si>
    <t>Влаштування щебеневого покриття заїзду до буд. № 6 на вул. Карпатської Січі</t>
  </si>
  <si>
    <t>Благоустрій території в районі видавництва «Нова Зоря» на площі Міцкевича</t>
  </si>
  <si>
    <t>Капітальний ремонт зупинок громадського транспорту на вул. Юності</t>
  </si>
  <si>
    <t xml:space="preserve">Капітальний ремонт пішохідної доріжки та входу до під’їзду на вул. Г. Мазепи, 173 корп.3 </t>
  </si>
  <si>
    <t>Капітальний ремонт пішохідної зони з влаштуванням велодоріжки навколо міського озера на вул. Г. Мазепи І черга</t>
  </si>
  <si>
    <t>Капітальний ремонт пішохідної зони з влаштуванням велодоріжки навколо міського озера на вул. Г. Мазепи ІІ черга</t>
  </si>
  <si>
    <t>Капітальний ремонт пішохідної зони з влаштуванням велодоріжки навколо міського озера на вул. Г. Мазепи ІІІ черга</t>
  </si>
  <si>
    <t>Капітальний ремонт пішохідної зони з влаштуванням велодоріжки навколо міського озера на вул. Г. Мазепи ІV черга</t>
  </si>
  <si>
    <t>Капітальний ремонт пірсів, сходів та інших елементів благоустрою озера на вул. Г. Мазепи</t>
  </si>
  <si>
    <t>Капітальний ремонт станції для човнів на міському озері на вул. Г. Мазепи</t>
  </si>
  <si>
    <t>Реконструкція "станції для моржів" на міському озері на вул. Г.Мазепи</t>
  </si>
  <si>
    <t>Влаштування зовнішнього освітлення озера на вулиці Гетьмана Мазепи</t>
  </si>
  <si>
    <t>Капітальний ремонт дошкільних закладів</t>
  </si>
  <si>
    <t>Капітальний ремонт вул. Барнича (ПВР+ роботи)</t>
  </si>
  <si>
    <t>Фінансова підтримка культово-релігійним громадам (в т. ч. Будівництво УГКЦ «Пресвятої Трійці»(вул.Сухомлинського) - 1500,0 тис. грн.)</t>
  </si>
  <si>
    <t>Довгострокова програма фінансування мобілізаційних заходів та оборонної роботи Івано-Франківської міської ради на 2019-2023 роки</t>
  </si>
  <si>
    <t>Капітальний ремонт тротуару з влаштуванням велодоріжки на вул. Північний Бульвар в м. Івано-Франківську</t>
  </si>
  <si>
    <t>Капітальний ремонт</t>
  </si>
  <si>
    <t>Капітальний ремонт мереж електропостачання в буд. №19 на вул. Петлюри</t>
  </si>
  <si>
    <t>Організація дорожнього руху на кільцевій розв`язці Г. Мазепи-Довженка-Крихівецька-Набережної ім. В. Стефаника в м. Івано-Франківську (співфінансування)</t>
  </si>
  <si>
    <t>Встановлення камер відеоспостереження</t>
  </si>
  <si>
    <t>Капітальний ремонт зовнішніх електричних мереж ж/б на вул. Сорохтея 16,16а</t>
  </si>
  <si>
    <t xml:space="preserve">Капітальний ремонт Івано-Франківського територіальногго центру, вул. Коперніка, 1 </t>
  </si>
  <si>
    <t>Відшкодування за кредитами, залученими ОСББ у кредитно-фінансових установах на впровадження енергозберігаючих заходів</t>
  </si>
  <si>
    <t xml:space="preserve">Ремонт приміщення ГО «Івано-Франківська міська спілка сімей і родин загиблих, померлих та безвісти зниклих в зоні АТО» на вул. Військових Ветеранів, 10 А (приміщення № 365а)» </t>
  </si>
  <si>
    <t xml:space="preserve">Програма охорони культурної спадщини м. Івано-Франківська 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</si>
  <si>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"Простір інноваційних Креацій "Палац"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</si>
  <si>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Будівництво багатоквартирного житлового будинку з приміщеннями поліклініки на базі об'єкту незавершеного будівництва по вул. Софіївка,39 в м. Івано-Франківську (ПВР+роботи)</t>
  </si>
  <si>
    <t>Капітальний ремонт міжбудинкових проїздів та прибудинкових територій</t>
  </si>
  <si>
    <t>Капітальний ремонт доріжки та прилеглої території між буд. №87-89 на вул. Мазепи та буд. №66-68 на вул. Шевченка</t>
  </si>
  <si>
    <t>Капітальний ремонт елементів фасаду навчально-реабілітаційного центру на вул. Гната Хоткевича, 52 в м. Івано-Франківську</t>
  </si>
  <si>
    <t>Капітальний ремонт І поверху в стаціонарі Комунального некомерційного підприємства "Міська дитяча клінічна лікарня Івано-Франківської міської ради" по вул. Чорновола, 44</t>
  </si>
  <si>
    <t>Капітальний ремонт інфекційного відділення (грудний блок) КНП "Міська дитяча клінічна лікарня івано-Франківської міської ради" на вул. Чорновола, 44</t>
  </si>
  <si>
    <t>Капітальний ремонт Народного дому «Княгинин»  на вул. Галицька, 40 в м. Івано-Франківську (ПВР+роботи)</t>
  </si>
  <si>
    <t>Капітальний ремонт вул. Озаркевича (ПВР+роботи)</t>
  </si>
  <si>
    <t>Капітальний ремонт вул. Індустріальна</t>
  </si>
  <si>
    <t>Капітальний ремонт вул. Республіканська</t>
  </si>
  <si>
    <t>Фільтратопровід від Полігону ТПВ в районі с. Рибне до точки врізки в міську каналізацію в м. Івано-Франківську</t>
  </si>
  <si>
    <t>Ремонт сходів та покриття балкону міської Ратуші</t>
  </si>
  <si>
    <t>Перелік об'єктів співфінансування, яких буде проводитись за рахунок коштів бюджету розвитку спеціального фонду міського бюджету та запозичень до міського бюджету м. Івано-Франківська у 2019 році</t>
  </si>
  <si>
    <t>Всього по переліку об'єктів співфінансування, яких буде проводитись за рахунок коштів бюджету розвитку спеціального фонду міського бюджету та запозичень до міського бюджету м. Івано-Франківська у 2019 році</t>
  </si>
  <si>
    <t>Придбання автобусів</t>
  </si>
  <si>
    <t>Придбання комп'ютерної техніки та периферійного обладнання</t>
  </si>
  <si>
    <t xml:space="preserve">Придбання комп'ютерної техніки та периферійного обладнання </t>
  </si>
  <si>
    <t>Зміни, що вносяться (+,-)</t>
  </si>
  <si>
    <t>Уточнений план затверджений сесією міської ради</t>
  </si>
  <si>
    <t xml:space="preserve">Разом видатків на поточний рік </t>
  </si>
  <si>
    <t>Розвиток соціально-економічної та інженерно-транспортної інфраструктури міста</t>
  </si>
  <si>
    <t>Міська цільова програма "Партиципаторне бюджетування (бюджет участі) у м.Івано-Франківськ"</t>
  </si>
  <si>
    <t>1210160</t>
  </si>
  <si>
    <t>Закупівля спеціалізованих автомобілів (автовишок) для обслуговування ЕМЗО та СО (автопідйомник з робочою висотою підйому 24 м</t>
  </si>
  <si>
    <t>Реконструкція зовнішнього освітлення міського озера на вул. Гетьмана Мазепи</t>
  </si>
  <si>
    <t xml:space="preserve">Капітальний ремонт моста на вул. Галицькій через р. Бистрицю Солотвинську в м. Івано-Франківську </t>
  </si>
  <si>
    <t xml:space="preserve">Капітальний ремонт шляхопроводу на вул. Незалежності в м. Івано-Франківську </t>
  </si>
  <si>
    <t>Нове будівництво стадіону з штучним покриттям по вул. Пасічна в м. Івано-Франківську</t>
  </si>
  <si>
    <t>Нове будівництво котельні в с. Хриплин Івано-Франківської міської ради в межах вулиць Хриплинська-Стартова</t>
  </si>
  <si>
    <t>Нове будівництво, реконструкція та капітальний ремонт мереж зовнішнього освітлення дворових територій міста Івано-Франківська</t>
  </si>
  <si>
    <t>Електропостачання та пусконаладка ІТП в ДНЗ №4 «Калинова сопілка» по вул. Вовчинецька, 133 (нефко)</t>
  </si>
  <si>
    <t>Електропостачання та пусконаладка ІТП в ДНЗ №16 «Сонечко» по вул. Короля Данила, 15а (нефко)</t>
  </si>
  <si>
    <t>Електропостачання та пусконаладка ІТП в ДНЗ №18 «Зернятко» по вул. Івана Павла ІІ, 14 (нефко)</t>
  </si>
  <si>
    <t>Електропостачання та пусконаладка ІТП в ДНЗ №23 «Дударик» по вул. Сухомлинського, 10а (нефко)</t>
  </si>
  <si>
    <t>Електропостачання та пусконаладка ІТП в ДНЗ №33 «Кристалик» по вул. Вовчинецька, 198а (нефко)</t>
  </si>
  <si>
    <t>Електропостачання та пусконаладка ІТП в ДНЗ №36 «Віночок» по вул. Целевича, 16 а (нефко)</t>
  </si>
  <si>
    <t>Капітальний ремонт елементів фасаду ДНЗ №4 «Калинова сопілка» по вул. Вовчинецькій, 133 (нефко)</t>
  </si>
  <si>
    <t>Капітальний ремонт елементів фасаду ДНЗ №16 "Сонечко" по вул. Короля Данила, 15 а в (нефко)</t>
  </si>
  <si>
    <t>Капітальний ремонт елементів фасаду ДНЗ №23 "Дударик" по вул. Сухомлинського, 10 А (нефко)</t>
  </si>
  <si>
    <t>Капітальний ремонт елементів фасаду ДНЗ №33 "Кристалик" по вул. Вовчинецькій, 198 а в (нефко)</t>
  </si>
  <si>
    <t>Капітальний ремонт елементів фасаду ДНЗ №36 «Віночок» по вул. Целевича, 16 А (нефко)</t>
  </si>
  <si>
    <t>Капітальний ремонт спортивного майданчика із синтетичним покриттям на території ЗШ № 18 на вул. Тролейбусна, 7</t>
  </si>
  <si>
    <t>Ремонтно-реставраційні роботи на першому поверсі структурного підрозділу "Міська поліклініка №3" комунального некомерційного підприємства "Центр первинної медичної і консультативної-діагностичної допомоги Івано-Франківської міської ради", пам'ятки архітектури місцевого значення ох, №110506 (547-М) (колишня каса хворих) по вул. Івана Франка, 30 в м. Івано-Франківську</t>
  </si>
  <si>
    <t>Ремонтно-реставраційні роботи з реконструкції нежитлових будівель пам’ятки містобудування і архітектури місцевого значення охоронний №199-іф (колишній житловий будинок (мур.) 1903р.) на вул. Тарнавського, 12 в м. Івано-Франківську (ПВР+роботи)</t>
  </si>
  <si>
    <t>Придбання навчального приладдя для математичної, природничої галузей Нової української школи та навчального приладдя для проведення практичних робіт з природознавства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</si>
  <si>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</si>
  <si>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</si>
  <si>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</si>
  <si>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</si>
  <si>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Комплексна програма запобігання виникненню надзвичайних ситуацій природного і техногенного характеру та підвищення рівня готовності аварійно-рятувальної служби м.Івано-Франківська до дій за призначенням на 2016 – 2020 роки</t>
  </si>
  <si>
    <t>Капітальний ремонт залу засідань каб. 311</t>
  </si>
  <si>
    <t>Субвенція на розвиток села Колодіївки</t>
  </si>
  <si>
    <t xml:space="preserve">Субвенції з обласного, сільських та інших бюджетів </t>
  </si>
  <si>
    <t>Придбання предметів і матеріалів довгострокового користування для ДНЗ №25 «Янголятко» (субвенція з с. Микитинці)</t>
  </si>
  <si>
    <t>Придбання засобів навчання в початковій школі Вовчинецької ЗШ (субвенція з с. Вовчинець)</t>
  </si>
  <si>
    <t>0712113</t>
  </si>
  <si>
    <t>2113</t>
  </si>
  <si>
    <t>Первинна медична допомога населенню, що надається амбулаторно-поліклінічними закладами (відділеннями)</t>
  </si>
  <si>
    <t>4030</t>
  </si>
  <si>
    <t>0824</t>
  </si>
  <si>
    <t>Забезпечення діяльності бібліотек</t>
  </si>
  <si>
    <t>Придбання україномовної літератури для бібліотеки-філії №12 с. Микитинці (субвенція з с. Микитинці)</t>
  </si>
  <si>
    <t>Придбання книг для бібліотеки с. Вовчинець (субвенція з с. Вовчинець)</t>
  </si>
  <si>
    <t>Будівництво каналізаційної мережі в с. Хриплин Івано-Франківської міської ради (ПВР+роботи) (субвенція з с. Хриплин)</t>
  </si>
  <si>
    <t>Розширення загальноосвітньої школи І-ІІ ступенів в с.Хриплин  (І п.к.) (субвенція з с. Хриплин)</t>
  </si>
  <si>
    <t>Субвенція з обласного бюджету Крихівецькій сільській раді по обласному конкурсу проектів та програм розвитку місцевого самоврядування</t>
  </si>
  <si>
    <t>Субвенція з обласного бюджету на виконання програми «Духовне життя» на 2016 – 2020 роки (придбання будівельних матеріалів для ремонтно-будівельних робіт в церкву преображення Господнього в м. Івано-Франківську</t>
  </si>
  <si>
    <t>Капітальний ремонт інженерних мереж</t>
  </si>
  <si>
    <t>Субвенція обласному бюджету для Івано-Франківського Геріатричного пансіонату на придбання обладнання</t>
  </si>
  <si>
    <t>Субвенція на розвиток села Підлужжя</t>
  </si>
  <si>
    <t>Субвенція на розвиток села Добровляни</t>
  </si>
  <si>
    <t>Субвенція районному бюджету Галицької районної ради на соціально-економічний розвиток району</t>
  </si>
  <si>
    <t>Субвенція обласному бюджету на виконання регіональної цільової програми «Духовне життя» на 2016 – 2020 роки (для ремонтно-будівельних робіт в церквах (а саме: с. Підлужжя – 100,0 тис. грн., с. Узин – 120,0 тис. грн., с. Колодіївка – 100,0 тис. грн., с. Добровляни – 100,0 тис. грн)</t>
  </si>
  <si>
    <t>Програма підтримки та розвитку Микитинецької ЗШ (субвенція з с. Микитинці)</t>
  </si>
  <si>
    <t>Субвенція з обласного бюджету на капітальний ремонт приміщень Івано-Франківської спеціалізованої школи І-ІІІ ступенів №5 з поглибленим вивченням німецької мови на вул. І. Франка в м. Івано-Франківськ</t>
  </si>
  <si>
    <t>Субвенція з обласного бюджету на встановлення дитячого спортивного майданчика на вулиці Весняній в мікрорайоні Опришівці Івано-Франківської міської ради</t>
  </si>
  <si>
    <t>Розширення загальноосвітньої школи І-ІІ ступенів в с. Хриплин   (І п.к.)</t>
  </si>
  <si>
    <t>Субвенції з Державного бюджету</t>
  </si>
  <si>
    <t>0611161</t>
  </si>
  <si>
    <t>1161</t>
  </si>
  <si>
    <t>0990</t>
  </si>
  <si>
    <t>Забезпечення діяльності інших закладів у сфері освіти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</si>
  <si>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</si>
  <si>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</si>
  <si>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</si>
  <si>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1217363</t>
  </si>
  <si>
    <t>1500000</t>
  </si>
  <si>
    <t>1510000</t>
  </si>
  <si>
    <t>1517363</t>
  </si>
  <si>
    <t>Разом по переліку об'єктів співфінансування, яких буде проводитись за рахунок коштів бюджету розвитку спеціального фонду міського бюджету та запозичень до міського бюджету м. Івано-Франківська у 2019 році та субвенцій з державного бюджету</t>
  </si>
  <si>
    <t>Капітальний ремонт ЗОШ І-ІІІ ступенів с. Крихівці Івано-Франківської міської ради</t>
  </si>
  <si>
    <t>Капітальний ремонт тротуару на вул. Снігуровича (ПВР+роботи)</t>
  </si>
  <si>
    <t>Капітальний ремонт, влаштування скейт-майданчика на міському озері на вул. Г. Мазепи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</si>
  <si>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"Муніципальна дорожня компанія"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</si>
  <si>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Придбання спортивного тренажеру у відпочинкову зону на березі річки Бистриця Надвірнянська (в районі перехрестя вулиць Івасюка-Хоткевича</t>
  </si>
  <si>
    <t>Міський конкурс проектів і програм розвитку місцевого самоврядування та громадянського суспільства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</si>
</sst>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Times New Roman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"/>
      <family val="2"/>
    </font>
    <font>
      <i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i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239">
    <xf numFmtId="0" fontId="0" fillId="0" borderId="0" xfId="0"/>
    <xf numFmtId="49" fontId="1" fillId="2" borderId="0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left" vertical="center" wrapText="1" shrinkToFit="1"/>
    </xf>
    <xf numFmtId="0" fontId="1" fillId="2" borderId="0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 wrapText="1" shrinkToFi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2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shrinkToFit="1"/>
    </xf>
    <xf numFmtId="3" fontId="1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3" fontId="5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vertical="center" wrapText="1" shrinkToFi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 shrinkToFi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shrinkToFit="1"/>
    </xf>
    <xf numFmtId="3" fontId="8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 shrinkToFit="1"/>
    </xf>
    <xf numFmtId="0" fontId="1" fillId="2" borderId="0" xfId="0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vertical="center" wrapText="1" shrinkToFit="1"/>
    </xf>
    <xf numFmtId="0" fontId="11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vertical="center" wrapText="1" shrinkToFit="1"/>
    </xf>
    <xf numFmtId="0" fontId="13" fillId="2" borderId="1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 shrinkToFit="1"/>
    </xf>
    <xf numFmtId="165" fontId="1" fillId="2" borderId="1" xfId="0" applyNumberFormat="1" applyFont="1" applyFill="1" applyBorder="1" applyAlignment="1">
      <alignment horizontal="left" vertical="center" wrapText="1" shrinkToFit="1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 shrinkToFit="1"/>
    </xf>
    <xf numFmtId="0" fontId="1" fillId="2" borderId="1" xfId="0" applyNumberFormat="1" applyFont="1" applyFill="1" applyBorder="1" applyAlignment="1">
      <alignment horizontal="left" vertical="center" wrapText="1" shrinkToFit="1"/>
    </xf>
    <xf numFmtId="3" fontId="1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vertical="center" wrapText="1" shrinkToFit="1"/>
    </xf>
    <xf numFmtId="49" fontId="1" fillId="2" borderId="1" xfId="0" applyNumberFormat="1" applyFont="1" applyFill="1" applyBorder="1" applyAlignment="1">
      <alignment vertical="center" wrapText="1" shrinkToFit="1"/>
    </xf>
    <xf numFmtId="0" fontId="1" fillId="2" borderId="1" xfId="2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vertical="center" wrapText="1" shrinkToFit="1"/>
    </xf>
    <xf numFmtId="0" fontId="5" fillId="2" borderId="1" xfId="0" applyFont="1" applyFill="1" applyBorder="1" applyAlignment="1">
      <alignment vertical="center" wrapText="1" shrinkToFit="1"/>
    </xf>
    <xf numFmtId="49" fontId="5" fillId="2" borderId="5" xfId="0" applyNumberFormat="1" applyFont="1" applyFill="1" applyBorder="1" applyAlignment="1">
      <alignment horizontal="center" vertical="center" wrapText="1" shrinkToFit="1"/>
    </xf>
    <xf numFmtId="49" fontId="5" fillId="2" borderId="0" xfId="0" applyNumberFormat="1" applyFont="1" applyFill="1" applyAlignment="1">
      <alignment vertical="center" wrapText="1" shrinkToFit="1"/>
    </xf>
    <xf numFmtId="0" fontId="15" fillId="2" borderId="1" xfId="0" applyFont="1" applyFill="1" applyBorder="1" applyAlignment="1">
      <alignment vertical="center" wrapText="1" shrinkToFit="1"/>
    </xf>
    <xf numFmtId="0" fontId="17" fillId="2" borderId="1" xfId="0" applyFont="1" applyFill="1" applyBorder="1" applyAlignment="1">
      <alignment vertical="center" wrapText="1" shrinkToFit="1"/>
    </xf>
    <xf numFmtId="165" fontId="2" fillId="2" borderId="1" xfId="0" applyNumberFormat="1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wrapText="1" shrinkToFit="1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 shrinkToFit="1"/>
    </xf>
    <xf numFmtId="3" fontId="5" fillId="2" borderId="0" xfId="0" applyNumberFormat="1" applyFont="1" applyFill="1" applyBorder="1" applyAlignment="1">
      <alignment horizontal="center" vertical="center" shrinkToFit="1"/>
    </xf>
    <xf numFmtId="3" fontId="1" fillId="2" borderId="0" xfId="0" applyNumberFormat="1" applyFont="1" applyFill="1" applyBorder="1" applyAlignment="1">
      <alignment horizontal="center" vertical="center" shrinkToFit="1"/>
    </xf>
    <xf numFmtId="3" fontId="2" fillId="2" borderId="0" xfId="0" applyNumberFormat="1" applyFont="1" applyFill="1" applyBorder="1" applyAlignment="1">
      <alignment horizontal="center" vertical="center" wrapText="1" shrinkToFit="1"/>
    </xf>
    <xf numFmtId="3" fontId="8" fillId="2" borderId="0" xfId="0" applyNumberFormat="1" applyFont="1" applyFill="1" applyBorder="1" applyAlignment="1">
      <alignment vertical="center" wrapText="1" shrinkToFit="1"/>
    </xf>
    <xf numFmtId="3" fontId="8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vertical="center" wrapText="1" shrinkToFi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2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2" applyNumberFormat="1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 shrinkToFi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 wrapText="1" shrinkToFit="1"/>
    </xf>
    <xf numFmtId="0" fontId="5" fillId="0" borderId="2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shrinkToFi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wrapText="1" shrinkToFit="1"/>
    </xf>
    <xf numFmtId="3" fontId="1" fillId="2" borderId="0" xfId="0" applyNumberFormat="1" applyFont="1" applyFill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49" fontId="5" fillId="2" borderId="6" xfId="0" applyNumberFormat="1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justify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17"/>
  <sheetViews>
    <sheetView showZeros="0" tabSelected="1" zoomScale="60" zoomScaleNormal="60" workbookViewId="0">
      <pane ySplit="7" topLeftCell="A696" activePane="bottomLeft" state="frozen"/>
      <selection pane="bottomLeft" activeCell="H826" sqref="H826"/>
    </sheetView>
  </sheetViews>
  <sheetFormatPr defaultRowHeight="18.75" x14ac:dyDescent="0.2"/>
  <cols>
    <col min="1" max="1" width="26.5" style="160" customWidth="1"/>
    <col min="2" max="2" width="23" style="160" customWidth="1"/>
    <col min="3" max="3" width="24" style="160" customWidth="1"/>
    <col min="4" max="4" width="84.33203125" style="160" customWidth="1"/>
    <col min="5" max="5" width="93.83203125" style="161" customWidth="1"/>
    <col min="6" max="6" width="29" style="5" customWidth="1"/>
    <col min="7" max="7" width="31.1640625" style="8" customWidth="1"/>
    <col min="8" max="8" width="33.33203125" style="6" customWidth="1"/>
    <col min="9" max="9" width="9.33203125" style="5"/>
    <col min="10" max="11" width="28.83203125" style="6" customWidth="1"/>
    <col min="12" max="12" width="22.1640625" style="5" customWidth="1"/>
    <col min="13" max="18" width="9.33203125" style="5"/>
    <col min="19" max="16384" width="9.33203125" style="7"/>
  </cols>
  <sheetData>
    <row r="1" spans="1:18" x14ac:dyDescent="0.2">
      <c r="A1" s="1"/>
      <c r="B1" s="1"/>
      <c r="C1" s="1"/>
      <c r="D1" s="1"/>
      <c r="E1" s="2"/>
      <c r="F1" s="200" t="s">
        <v>367</v>
      </c>
      <c r="G1" s="3"/>
      <c r="H1" s="4"/>
    </row>
    <row r="2" spans="1:18" ht="18.75" customHeight="1" x14ac:dyDescent="0.2">
      <c r="A2" s="1"/>
      <c r="B2" s="1"/>
      <c r="C2" s="1"/>
      <c r="D2" s="1"/>
      <c r="E2" s="2"/>
      <c r="F2" s="234" t="s">
        <v>368</v>
      </c>
      <c r="G2" s="234"/>
      <c r="H2" s="234"/>
      <c r="L2" s="200"/>
      <c r="M2" s="3"/>
      <c r="N2" s="4"/>
    </row>
    <row r="3" spans="1:18" ht="18.75" customHeight="1" x14ac:dyDescent="0.2">
      <c r="A3" s="1"/>
      <c r="B3" s="1"/>
      <c r="C3" s="1"/>
      <c r="D3" s="1"/>
      <c r="E3" s="2"/>
      <c r="F3" s="234" t="s">
        <v>369</v>
      </c>
      <c r="G3" s="234"/>
      <c r="H3" s="234"/>
      <c r="L3" s="234"/>
      <c r="M3" s="234"/>
      <c r="N3" s="234"/>
    </row>
    <row r="4" spans="1:18" ht="18.75" customHeight="1" x14ac:dyDescent="0.2">
      <c r="A4" s="1"/>
      <c r="B4" s="1"/>
      <c r="C4" s="1"/>
      <c r="D4" s="1"/>
      <c r="E4" s="2"/>
      <c r="L4" s="234"/>
      <c r="M4" s="234"/>
      <c r="N4" s="234"/>
    </row>
    <row r="5" spans="1:18" ht="21.75" customHeight="1" x14ac:dyDescent="0.2">
      <c r="A5" s="238" t="s">
        <v>377</v>
      </c>
      <c r="B5" s="238"/>
      <c r="C5" s="238"/>
      <c r="D5" s="238"/>
      <c r="E5" s="238"/>
      <c r="F5" s="238"/>
      <c r="G5" s="5"/>
      <c r="H5" s="5"/>
    </row>
    <row r="6" spans="1:18" ht="27.75" customHeight="1" x14ac:dyDescent="0.2">
      <c r="A6" s="1"/>
      <c r="B6" s="1"/>
      <c r="C6" s="1"/>
      <c r="D6" s="1"/>
      <c r="E6" s="2"/>
      <c r="F6" s="9"/>
      <c r="H6" s="6" t="s">
        <v>255</v>
      </c>
    </row>
    <row r="7" spans="1:18" s="16" customFormat="1" ht="144.6" customHeight="1" x14ac:dyDescent="0.2">
      <c r="A7" s="10" t="s">
        <v>378</v>
      </c>
      <c r="B7" s="11" t="s">
        <v>379</v>
      </c>
      <c r="C7" s="11" t="s">
        <v>380</v>
      </c>
      <c r="D7" s="10" t="s">
        <v>381</v>
      </c>
      <c r="E7" s="12" t="s">
        <v>382</v>
      </c>
      <c r="F7" s="13" t="s">
        <v>659</v>
      </c>
      <c r="G7" s="13" t="s">
        <v>657</v>
      </c>
      <c r="H7" s="13" t="s">
        <v>658</v>
      </c>
      <c r="I7" s="14"/>
      <c r="J7" s="15"/>
      <c r="K7" s="15"/>
      <c r="L7" s="14"/>
      <c r="M7" s="14"/>
      <c r="N7" s="14"/>
      <c r="O7" s="14"/>
      <c r="P7" s="14"/>
      <c r="Q7" s="14"/>
      <c r="R7" s="14"/>
    </row>
    <row r="8" spans="1:18" s="18" customFormat="1" ht="30" customHeight="1" x14ac:dyDescent="0.2">
      <c r="A8" s="237" t="s">
        <v>299</v>
      </c>
      <c r="B8" s="237"/>
      <c r="C8" s="237"/>
      <c r="D8" s="237"/>
      <c r="E8" s="237"/>
      <c r="F8" s="237"/>
      <c r="G8" s="237"/>
      <c r="H8" s="237"/>
      <c r="I8" s="3"/>
      <c r="J8" s="17"/>
      <c r="K8" s="17"/>
      <c r="L8" s="3"/>
      <c r="M8" s="3"/>
      <c r="N8" s="3"/>
      <c r="O8" s="3"/>
      <c r="P8" s="3"/>
      <c r="Q8" s="3"/>
      <c r="R8" s="3"/>
    </row>
    <row r="9" spans="1:18" s="18" customFormat="1" ht="41.25" customHeight="1" x14ac:dyDescent="0.2">
      <c r="A9" s="20" t="s">
        <v>310</v>
      </c>
      <c r="B9" s="20"/>
      <c r="C9" s="20"/>
      <c r="D9" s="19" t="s">
        <v>289</v>
      </c>
      <c r="E9" s="201"/>
      <c r="F9" s="22">
        <f>F11+F13</f>
        <v>0</v>
      </c>
      <c r="G9" s="22">
        <f>G11+G13</f>
        <v>158536</v>
      </c>
      <c r="H9" s="13">
        <f>F9+G9</f>
        <v>158536</v>
      </c>
      <c r="I9" s="3"/>
      <c r="J9" s="17"/>
      <c r="K9" s="17"/>
      <c r="L9" s="3"/>
      <c r="M9" s="3"/>
      <c r="N9" s="3"/>
      <c r="O9" s="3"/>
      <c r="P9" s="3"/>
      <c r="Q9" s="3"/>
      <c r="R9" s="3"/>
    </row>
    <row r="10" spans="1:18" s="18" customFormat="1" ht="41.25" customHeight="1" x14ac:dyDescent="0.2">
      <c r="A10" s="20" t="s">
        <v>311</v>
      </c>
      <c r="B10" s="20"/>
      <c r="C10" s="20"/>
      <c r="D10" s="36" t="s">
        <v>289</v>
      </c>
      <c r="E10" s="201"/>
      <c r="F10" s="22"/>
      <c r="G10" s="22"/>
      <c r="H10" s="22"/>
      <c r="I10" s="3"/>
      <c r="J10" s="17"/>
      <c r="K10" s="17"/>
      <c r="L10" s="3"/>
      <c r="M10" s="3"/>
      <c r="N10" s="3"/>
      <c r="O10" s="3"/>
      <c r="P10" s="3"/>
      <c r="Q10" s="3"/>
      <c r="R10" s="3"/>
    </row>
    <row r="11" spans="1:18" s="18" customFormat="1" ht="30" customHeight="1" x14ac:dyDescent="0.2">
      <c r="A11" s="26" t="s">
        <v>473</v>
      </c>
      <c r="B11" s="26" t="s">
        <v>269</v>
      </c>
      <c r="C11" s="26" t="s">
        <v>270</v>
      </c>
      <c r="D11" s="39" t="s">
        <v>312</v>
      </c>
      <c r="E11" s="201"/>
      <c r="F11" s="29">
        <f>SUM(F12)</f>
        <v>0</v>
      </c>
      <c r="G11" s="29">
        <f>SUM(G12)</f>
        <v>59100</v>
      </c>
      <c r="H11" s="30">
        <f>F11+G11</f>
        <v>59100</v>
      </c>
      <c r="I11" s="3"/>
      <c r="J11" s="17"/>
      <c r="K11" s="17"/>
      <c r="L11" s="3"/>
      <c r="M11" s="3"/>
      <c r="N11" s="3"/>
      <c r="O11" s="3"/>
      <c r="P11" s="3"/>
      <c r="Q11" s="3"/>
      <c r="R11" s="3"/>
    </row>
    <row r="12" spans="1:18" s="18" customFormat="1" ht="30" customHeight="1" x14ac:dyDescent="0.2">
      <c r="A12" s="201"/>
      <c r="B12" s="201"/>
      <c r="C12" s="201"/>
      <c r="D12" s="201"/>
      <c r="E12" s="182" t="s">
        <v>436</v>
      </c>
      <c r="F12" s="25"/>
      <c r="G12" s="25">
        <f>59100</f>
        <v>59100</v>
      </c>
      <c r="H12" s="33">
        <f>F12+G12</f>
        <v>59100</v>
      </c>
      <c r="I12" s="3"/>
      <c r="J12" s="17"/>
      <c r="K12" s="17"/>
      <c r="L12" s="3"/>
      <c r="M12" s="3"/>
      <c r="N12" s="3"/>
      <c r="O12" s="3"/>
      <c r="P12" s="3"/>
      <c r="Q12" s="3"/>
      <c r="R12" s="3"/>
    </row>
    <row r="13" spans="1:18" s="18" customFormat="1" ht="86.25" customHeight="1" x14ac:dyDescent="0.2">
      <c r="A13" s="26" t="s">
        <v>313</v>
      </c>
      <c r="B13" s="26" t="s">
        <v>271</v>
      </c>
      <c r="C13" s="26" t="s">
        <v>272</v>
      </c>
      <c r="D13" s="39" t="s">
        <v>314</v>
      </c>
      <c r="E13" s="201"/>
      <c r="F13" s="29">
        <f>SUM(F14)</f>
        <v>0</v>
      </c>
      <c r="G13" s="29">
        <f>SUM(G14)</f>
        <v>99436</v>
      </c>
      <c r="H13" s="30">
        <f>F13+G13</f>
        <v>99436</v>
      </c>
      <c r="I13" s="3"/>
      <c r="J13" s="17"/>
      <c r="K13" s="17"/>
      <c r="L13" s="3"/>
      <c r="M13" s="3"/>
      <c r="N13" s="3"/>
      <c r="O13" s="3"/>
      <c r="P13" s="3"/>
      <c r="Q13" s="3"/>
      <c r="R13" s="3"/>
    </row>
    <row r="14" spans="1:18" s="18" customFormat="1" ht="47.25" customHeight="1" x14ac:dyDescent="0.2">
      <c r="A14" s="201"/>
      <c r="B14" s="201"/>
      <c r="C14" s="201"/>
      <c r="D14" s="201"/>
      <c r="E14" s="198" t="s">
        <v>661</v>
      </c>
      <c r="F14" s="25"/>
      <c r="G14" s="25">
        <f>99436</f>
        <v>99436</v>
      </c>
      <c r="H14" s="33">
        <f>F14+G14</f>
        <v>99436</v>
      </c>
      <c r="I14" s="3"/>
      <c r="J14" s="17"/>
      <c r="K14" s="17"/>
      <c r="L14" s="3"/>
      <c r="M14" s="3"/>
      <c r="N14" s="3"/>
      <c r="O14" s="3"/>
      <c r="P14" s="3"/>
      <c r="Q14" s="3"/>
      <c r="R14" s="3"/>
    </row>
    <row r="15" spans="1:18" s="18" customFormat="1" ht="30" customHeight="1" x14ac:dyDescent="0.2">
      <c r="A15" s="47" t="s">
        <v>315</v>
      </c>
      <c r="B15" s="47"/>
      <c r="C15" s="47"/>
      <c r="D15" s="47" t="s">
        <v>256</v>
      </c>
      <c r="E15" s="214"/>
      <c r="F15" s="22">
        <f>F17+F19</f>
        <v>0</v>
      </c>
      <c r="G15" s="22">
        <f>G17+G19</f>
        <v>2198968</v>
      </c>
      <c r="H15" s="13">
        <f>F15+G15</f>
        <v>2198968</v>
      </c>
      <c r="I15" s="3"/>
      <c r="J15" s="17"/>
      <c r="K15" s="17"/>
      <c r="L15" s="3"/>
      <c r="M15" s="3"/>
      <c r="N15" s="3"/>
      <c r="O15" s="3"/>
      <c r="P15" s="3"/>
      <c r="Q15" s="3"/>
      <c r="R15" s="3"/>
    </row>
    <row r="16" spans="1:18" s="18" customFormat="1" ht="30" customHeight="1" x14ac:dyDescent="0.2">
      <c r="A16" s="47" t="s">
        <v>316</v>
      </c>
      <c r="B16" s="47"/>
      <c r="C16" s="47"/>
      <c r="D16" s="48" t="s">
        <v>256</v>
      </c>
      <c r="E16" s="214"/>
      <c r="F16" s="22"/>
      <c r="G16" s="22"/>
      <c r="H16" s="22"/>
      <c r="I16" s="3"/>
      <c r="J16" s="17"/>
      <c r="K16" s="17"/>
      <c r="L16" s="3"/>
      <c r="M16" s="3"/>
      <c r="N16" s="3"/>
      <c r="O16" s="3"/>
      <c r="P16" s="3"/>
      <c r="Q16" s="3"/>
      <c r="R16" s="3"/>
    </row>
    <row r="17" spans="1:18" s="18" customFormat="1" ht="37.5" customHeight="1" x14ac:dyDescent="0.2">
      <c r="A17" s="49" t="s">
        <v>319</v>
      </c>
      <c r="B17" s="49" t="s">
        <v>259</v>
      </c>
      <c r="C17" s="49" t="s">
        <v>260</v>
      </c>
      <c r="D17" s="50" t="s">
        <v>261</v>
      </c>
      <c r="E17" s="214"/>
      <c r="F17" s="29">
        <f>SUM(F18)</f>
        <v>0</v>
      </c>
      <c r="G17" s="29">
        <f>SUM(G18)</f>
        <v>1895887</v>
      </c>
      <c r="H17" s="30">
        <f>F17+G17</f>
        <v>1895887</v>
      </c>
      <c r="I17" s="3"/>
      <c r="J17" s="17"/>
      <c r="K17" s="17"/>
      <c r="L17" s="3"/>
      <c r="M17" s="3"/>
      <c r="N17" s="3"/>
      <c r="O17" s="3"/>
      <c r="P17" s="3"/>
      <c r="Q17" s="3"/>
      <c r="R17" s="3"/>
    </row>
    <row r="18" spans="1:18" s="18" customFormat="1" ht="30" customHeight="1" x14ac:dyDescent="0.2">
      <c r="A18" s="214"/>
      <c r="B18" s="214"/>
      <c r="C18" s="214"/>
      <c r="D18" s="214"/>
      <c r="E18" s="186" t="s">
        <v>437</v>
      </c>
      <c r="F18" s="25"/>
      <c r="G18" s="25">
        <f>145887+1750000</f>
        <v>1895887</v>
      </c>
      <c r="H18" s="33">
        <f>F18+G18</f>
        <v>1895887</v>
      </c>
      <c r="I18" s="3"/>
      <c r="J18" s="17"/>
      <c r="K18" s="17"/>
      <c r="L18" s="3"/>
      <c r="M18" s="3"/>
      <c r="N18" s="3"/>
      <c r="O18" s="3"/>
      <c r="P18" s="3"/>
      <c r="Q18" s="3"/>
      <c r="R18" s="3"/>
    </row>
    <row r="19" spans="1:18" s="18" customFormat="1" ht="41.25" customHeight="1" x14ac:dyDescent="0.2">
      <c r="A19" s="49" t="s">
        <v>477</v>
      </c>
      <c r="B19" s="49" t="s">
        <v>321</v>
      </c>
      <c r="C19" s="49" t="s">
        <v>264</v>
      </c>
      <c r="D19" s="50" t="s">
        <v>373</v>
      </c>
      <c r="E19" s="214"/>
      <c r="F19" s="29">
        <f>SUM(F20)</f>
        <v>0</v>
      </c>
      <c r="G19" s="29">
        <f>SUM(G20)</f>
        <v>303081</v>
      </c>
      <c r="H19" s="30">
        <f>F19+G19</f>
        <v>303081</v>
      </c>
      <c r="I19" s="3"/>
      <c r="J19" s="17"/>
      <c r="K19" s="17"/>
      <c r="L19" s="3"/>
      <c r="M19" s="3"/>
      <c r="N19" s="3"/>
      <c r="O19" s="3"/>
      <c r="P19" s="3"/>
      <c r="Q19" s="3"/>
      <c r="R19" s="3"/>
    </row>
    <row r="20" spans="1:18" s="18" customFormat="1" ht="30" customHeight="1" x14ac:dyDescent="0.2">
      <c r="A20" s="214"/>
      <c r="B20" s="214"/>
      <c r="C20" s="214"/>
      <c r="D20" s="214"/>
      <c r="E20" s="182" t="s">
        <v>30</v>
      </c>
      <c r="F20" s="25"/>
      <c r="G20" s="25">
        <f>303081</f>
        <v>303081</v>
      </c>
      <c r="H20" s="33">
        <f>F20+G20</f>
        <v>303081</v>
      </c>
      <c r="I20" s="3"/>
      <c r="J20" s="17"/>
      <c r="K20" s="17"/>
      <c r="L20" s="3"/>
      <c r="M20" s="3"/>
      <c r="N20" s="3"/>
      <c r="O20" s="3"/>
      <c r="P20" s="3"/>
      <c r="Q20" s="3"/>
      <c r="R20" s="3"/>
    </row>
    <row r="21" spans="1:18" s="18" customFormat="1" ht="45" customHeight="1" x14ac:dyDescent="0.2">
      <c r="A21" s="19">
        <v>1200000</v>
      </c>
      <c r="B21" s="20"/>
      <c r="C21" s="20"/>
      <c r="D21" s="20" t="s">
        <v>280</v>
      </c>
      <c r="E21" s="214"/>
      <c r="F21" s="21">
        <f>F45+F26+F23</f>
        <v>10688000</v>
      </c>
      <c r="G21" s="21">
        <f>G45+G26+G23</f>
        <v>11890881</v>
      </c>
      <c r="H21" s="13">
        <f>F21+G21</f>
        <v>22578881</v>
      </c>
      <c r="I21" s="3"/>
      <c r="J21" s="17"/>
      <c r="K21" s="17"/>
      <c r="L21" s="3"/>
      <c r="M21" s="3"/>
      <c r="N21" s="3"/>
      <c r="O21" s="3"/>
      <c r="P21" s="3"/>
      <c r="Q21" s="3"/>
      <c r="R21" s="3"/>
    </row>
    <row r="22" spans="1:18" s="18" customFormat="1" ht="45" customHeight="1" x14ac:dyDescent="0.2">
      <c r="A22" s="19">
        <v>1210000</v>
      </c>
      <c r="B22" s="20"/>
      <c r="C22" s="20"/>
      <c r="D22" s="23" t="s">
        <v>280</v>
      </c>
      <c r="E22" s="214"/>
      <c r="F22" s="24"/>
      <c r="G22" s="25"/>
      <c r="H22" s="25"/>
      <c r="I22" s="3"/>
      <c r="J22" s="17"/>
      <c r="K22" s="17"/>
      <c r="L22" s="3"/>
      <c r="M22" s="3"/>
      <c r="N22" s="3"/>
      <c r="O22" s="3"/>
      <c r="P22" s="3"/>
      <c r="Q22" s="3"/>
      <c r="R22" s="3"/>
    </row>
    <row r="23" spans="1:18" s="88" customFormat="1" ht="40.5" customHeight="1" x14ac:dyDescent="0.2">
      <c r="A23" s="26" t="s">
        <v>332</v>
      </c>
      <c r="B23" s="26" t="s">
        <v>328</v>
      </c>
      <c r="C23" s="26" t="s">
        <v>431</v>
      </c>
      <c r="D23" s="26" t="s">
        <v>327</v>
      </c>
      <c r="E23" s="74"/>
      <c r="F23" s="30">
        <f>SUM(F24:F25)</f>
        <v>0</v>
      </c>
      <c r="G23" s="30">
        <f>SUM(G24:G25)</f>
        <v>128518</v>
      </c>
      <c r="H23" s="30">
        <f t="shared" ref="H23:H44" si="0">F23+G23</f>
        <v>128518</v>
      </c>
      <c r="I23" s="86"/>
      <c r="J23" s="87"/>
      <c r="K23" s="87"/>
      <c r="L23" s="86"/>
      <c r="M23" s="86"/>
      <c r="N23" s="86"/>
      <c r="O23" s="86"/>
      <c r="P23" s="86"/>
      <c r="Q23" s="86"/>
      <c r="R23" s="86"/>
    </row>
    <row r="24" spans="1:18" s="5" customFormat="1" x14ac:dyDescent="0.2">
      <c r="A24" s="24"/>
      <c r="B24" s="119"/>
      <c r="C24" s="119"/>
      <c r="D24" s="121"/>
      <c r="E24" s="183" t="s">
        <v>192</v>
      </c>
      <c r="F24" s="25"/>
      <c r="G24" s="25">
        <f>47921</f>
        <v>47921</v>
      </c>
      <c r="H24" s="33">
        <f t="shared" si="0"/>
        <v>47921</v>
      </c>
      <c r="J24" s="6"/>
      <c r="K24" s="6"/>
    </row>
    <row r="25" spans="1:18" s="5" customFormat="1" ht="37.5" x14ac:dyDescent="0.2">
      <c r="A25" s="24"/>
      <c r="B25" s="119"/>
      <c r="C25" s="119"/>
      <c r="D25" s="121"/>
      <c r="E25" s="183" t="s">
        <v>495</v>
      </c>
      <c r="F25" s="25"/>
      <c r="G25" s="25">
        <f>80597</f>
        <v>80597</v>
      </c>
      <c r="H25" s="33">
        <f t="shared" si="0"/>
        <v>80597</v>
      </c>
      <c r="J25" s="6"/>
      <c r="K25" s="6"/>
    </row>
    <row r="26" spans="1:18" s="18" customFormat="1" ht="45" customHeight="1" x14ac:dyDescent="0.2">
      <c r="A26" s="26" t="s">
        <v>329</v>
      </c>
      <c r="B26" s="26" t="s">
        <v>330</v>
      </c>
      <c r="C26" s="26" t="s">
        <v>281</v>
      </c>
      <c r="D26" s="26" t="s">
        <v>331</v>
      </c>
      <c r="E26" s="201"/>
      <c r="F26" s="28">
        <f>SUM(F27:F44)</f>
        <v>1100000</v>
      </c>
      <c r="G26" s="29">
        <f>SUM(G27:G44)</f>
        <v>5902963</v>
      </c>
      <c r="H26" s="30">
        <f t="shared" si="0"/>
        <v>7002963</v>
      </c>
      <c r="I26" s="3"/>
      <c r="J26" s="17"/>
      <c r="K26" s="17"/>
      <c r="L26" s="3"/>
      <c r="M26" s="3"/>
      <c r="N26" s="3"/>
      <c r="O26" s="3"/>
      <c r="P26" s="3"/>
      <c r="Q26" s="3"/>
      <c r="R26" s="3"/>
    </row>
    <row r="27" spans="1:18" s="18" customFormat="1" ht="29.25" customHeight="1" x14ac:dyDescent="0.2">
      <c r="A27" s="201"/>
      <c r="B27" s="201"/>
      <c r="C27" s="201"/>
      <c r="D27" s="201"/>
      <c r="E27" s="213" t="s">
        <v>481</v>
      </c>
      <c r="F27" s="25"/>
      <c r="G27" s="25"/>
      <c r="H27" s="33">
        <f t="shared" si="0"/>
        <v>0</v>
      </c>
      <c r="I27" s="3"/>
      <c r="J27" s="17"/>
      <c r="K27" s="17"/>
      <c r="L27" s="3"/>
      <c r="M27" s="3"/>
      <c r="N27" s="3"/>
      <c r="O27" s="3"/>
      <c r="P27" s="3"/>
      <c r="Q27" s="3"/>
      <c r="R27" s="3"/>
    </row>
    <row r="28" spans="1:18" s="18" customFormat="1" ht="39" customHeight="1" x14ac:dyDescent="0.2">
      <c r="A28" s="201"/>
      <c r="B28" s="201"/>
      <c r="C28" s="201"/>
      <c r="D28" s="201"/>
      <c r="E28" s="182" t="s">
        <v>593</v>
      </c>
      <c r="F28" s="25"/>
      <c r="G28" s="25">
        <f>980182+631531</f>
        <v>1611713</v>
      </c>
      <c r="H28" s="33">
        <f t="shared" si="0"/>
        <v>1611713</v>
      </c>
      <c r="I28" s="3"/>
      <c r="J28" s="17"/>
      <c r="K28" s="17"/>
      <c r="L28" s="3"/>
      <c r="M28" s="3"/>
      <c r="N28" s="3"/>
      <c r="O28" s="3"/>
      <c r="P28" s="3"/>
      <c r="Q28" s="3"/>
      <c r="R28" s="3"/>
    </row>
    <row r="29" spans="1:18" s="18" customFormat="1" ht="39" customHeight="1" x14ac:dyDescent="0.2">
      <c r="A29" s="201"/>
      <c r="B29" s="201"/>
      <c r="C29" s="201"/>
      <c r="D29" s="201"/>
      <c r="E29" s="212" t="s">
        <v>641</v>
      </c>
      <c r="F29" s="25"/>
      <c r="G29" s="25"/>
      <c r="H29" s="33">
        <f t="shared" si="0"/>
        <v>0</v>
      </c>
      <c r="I29" s="3"/>
      <c r="J29" s="17"/>
      <c r="K29" s="17"/>
      <c r="L29" s="3"/>
      <c r="M29" s="3"/>
      <c r="N29" s="3"/>
      <c r="O29" s="3"/>
      <c r="P29" s="3"/>
      <c r="Q29" s="3"/>
      <c r="R29" s="3"/>
    </row>
    <row r="30" spans="1:18" s="18" customFormat="1" ht="39" customHeight="1" x14ac:dyDescent="0.2">
      <c r="A30" s="201"/>
      <c r="B30" s="201"/>
      <c r="C30" s="201"/>
      <c r="D30" s="201"/>
      <c r="E30" s="182" t="s">
        <v>482</v>
      </c>
      <c r="F30" s="25"/>
      <c r="G30" s="25">
        <f>1080064+15684+225171+308391-193019+404074</f>
        <v>1840365</v>
      </c>
      <c r="H30" s="33">
        <f t="shared" si="0"/>
        <v>1840365</v>
      </c>
      <c r="I30" s="3"/>
      <c r="J30" s="17"/>
      <c r="K30" s="17"/>
      <c r="L30" s="3"/>
      <c r="M30" s="3"/>
      <c r="N30" s="3"/>
      <c r="O30" s="3"/>
      <c r="P30" s="3"/>
      <c r="Q30" s="3"/>
      <c r="R30" s="3"/>
    </row>
    <row r="31" spans="1:18" s="18" customFormat="1" ht="29.25" customHeight="1" x14ac:dyDescent="0.2">
      <c r="A31" s="201"/>
      <c r="B31" s="201"/>
      <c r="C31" s="201"/>
      <c r="D31" s="201"/>
      <c r="E31" s="212" t="s">
        <v>483</v>
      </c>
      <c r="F31" s="25"/>
      <c r="G31" s="25"/>
      <c r="H31" s="33">
        <f t="shared" si="0"/>
        <v>0</v>
      </c>
      <c r="I31" s="3"/>
      <c r="J31" s="17"/>
      <c r="K31" s="17"/>
      <c r="L31" s="3"/>
      <c r="M31" s="3"/>
      <c r="N31" s="3"/>
      <c r="O31" s="3"/>
      <c r="P31" s="3"/>
      <c r="Q31" s="3"/>
      <c r="R31" s="3"/>
    </row>
    <row r="32" spans="1:18" s="18" customFormat="1" ht="29.25" customHeight="1" x14ac:dyDescent="0.2">
      <c r="A32" s="201"/>
      <c r="B32" s="201"/>
      <c r="C32" s="201"/>
      <c r="D32" s="201"/>
      <c r="E32" s="182" t="s">
        <v>483</v>
      </c>
      <c r="F32" s="25"/>
      <c r="G32" s="25">
        <f>370000+116770</f>
        <v>486770</v>
      </c>
      <c r="H32" s="33">
        <f t="shared" si="0"/>
        <v>486770</v>
      </c>
      <c r="I32" s="3"/>
      <c r="J32" s="17"/>
      <c r="K32" s="17"/>
      <c r="L32" s="3"/>
      <c r="M32" s="3"/>
      <c r="N32" s="3"/>
      <c r="O32" s="3"/>
      <c r="P32" s="3"/>
      <c r="Q32" s="3"/>
      <c r="R32" s="3"/>
    </row>
    <row r="33" spans="1:18" s="18" customFormat="1" ht="39" customHeight="1" x14ac:dyDescent="0.2">
      <c r="A33" s="201"/>
      <c r="B33" s="201"/>
      <c r="C33" s="201"/>
      <c r="D33" s="201"/>
      <c r="E33" s="182" t="s">
        <v>618</v>
      </c>
      <c r="F33" s="25"/>
      <c r="G33" s="25">
        <f>1049000+762288+561608-730576</f>
        <v>1642320</v>
      </c>
      <c r="H33" s="33">
        <f t="shared" si="0"/>
        <v>1642320</v>
      </c>
      <c r="I33" s="3"/>
      <c r="J33" s="17"/>
      <c r="K33" s="17"/>
      <c r="L33" s="3"/>
      <c r="M33" s="3"/>
      <c r="N33" s="3"/>
      <c r="O33" s="3"/>
      <c r="P33" s="3"/>
      <c r="Q33" s="3"/>
      <c r="R33" s="3"/>
    </row>
    <row r="34" spans="1:18" s="18" customFormat="1" ht="33" customHeight="1" x14ac:dyDescent="0.2">
      <c r="A34" s="201"/>
      <c r="B34" s="201"/>
      <c r="C34" s="201"/>
      <c r="D34" s="201"/>
      <c r="E34" s="212" t="s">
        <v>498</v>
      </c>
      <c r="F34" s="25"/>
      <c r="G34" s="25"/>
      <c r="H34" s="33">
        <f t="shared" si="0"/>
        <v>0</v>
      </c>
      <c r="I34" s="3"/>
      <c r="J34" s="17"/>
      <c r="K34" s="17"/>
      <c r="L34" s="3"/>
      <c r="M34" s="3"/>
      <c r="N34" s="3"/>
      <c r="O34" s="3"/>
      <c r="P34" s="3"/>
      <c r="Q34" s="3"/>
      <c r="R34" s="3"/>
    </row>
    <row r="35" spans="1:18" s="18" customFormat="1" ht="33" customHeight="1" x14ac:dyDescent="0.2">
      <c r="A35" s="201"/>
      <c r="B35" s="201"/>
      <c r="C35" s="201"/>
      <c r="D35" s="201"/>
      <c r="E35" s="175" t="s">
        <v>13</v>
      </c>
      <c r="F35" s="25"/>
      <c r="G35" s="25">
        <v>152914</v>
      </c>
      <c r="H35" s="33">
        <f t="shared" si="0"/>
        <v>152914</v>
      </c>
      <c r="I35" s="3"/>
      <c r="J35" s="17"/>
      <c r="K35" s="17"/>
      <c r="L35" s="3"/>
      <c r="M35" s="3"/>
      <c r="N35" s="3"/>
      <c r="O35" s="3"/>
      <c r="P35" s="3"/>
      <c r="Q35" s="3"/>
      <c r="R35" s="3"/>
    </row>
    <row r="36" spans="1:18" s="18" customFormat="1" ht="33" customHeight="1" x14ac:dyDescent="0.2">
      <c r="A36" s="201"/>
      <c r="B36" s="201"/>
      <c r="C36" s="201"/>
      <c r="D36" s="201"/>
      <c r="E36" s="175" t="s">
        <v>14</v>
      </c>
      <c r="F36" s="25"/>
      <c r="G36" s="25">
        <v>122337</v>
      </c>
      <c r="H36" s="33">
        <f t="shared" si="0"/>
        <v>122337</v>
      </c>
      <c r="I36" s="3"/>
      <c r="J36" s="17"/>
      <c r="K36" s="17"/>
      <c r="L36" s="3"/>
      <c r="M36" s="3"/>
      <c r="N36" s="3"/>
      <c r="O36" s="3"/>
      <c r="P36" s="3"/>
      <c r="Q36" s="3"/>
      <c r="R36" s="3"/>
    </row>
    <row r="37" spans="1:18" s="18" customFormat="1" ht="33" customHeight="1" x14ac:dyDescent="0.2">
      <c r="A37" s="201"/>
      <c r="B37" s="201"/>
      <c r="C37" s="201"/>
      <c r="D37" s="201"/>
      <c r="E37" s="213" t="s">
        <v>485</v>
      </c>
      <c r="F37" s="25"/>
      <c r="G37" s="25"/>
      <c r="H37" s="33">
        <f t="shared" si="0"/>
        <v>0</v>
      </c>
      <c r="I37" s="3"/>
      <c r="J37" s="17"/>
      <c r="K37" s="17"/>
      <c r="L37" s="3"/>
      <c r="M37" s="3"/>
      <c r="N37" s="3"/>
      <c r="O37" s="3"/>
      <c r="P37" s="3"/>
      <c r="Q37" s="3"/>
      <c r="R37" s="3"/>
    </row>
    <row r="38" spans="1:18" s="18" customFormat="1" ht="33" customHeight="1" x14ac:dyDescent="0.2">
      <c r="A38" s="201"/>
      <c r="B38" s="201"/>
      <c r="C38" s="201"/>
      <c r="D38" s="201"/>
      <c r="E38" s="229" t="s">
        <v>492</v>
      </c>
      <c r="F38" s="25"/>
      <c r="G38" s="25">
        <f>193019</f>
        <v>193019</v>
      </c>
      <c r="H38" s="33">
        <f t="shared" si="0"/>
        <v>193019</v>
      </c>
      <c r="I38" s="3"/>
      <c r="J38" s="17"/>
      <c r="K38" s="17"/>
      <c r="L38" s="3"/>
      <c r="M38" s="3"/>
      <c r="N38" s="3"/>
      <c r="O38" s="3"/>
      <c r="P38" s="3"/>
      <c r="Q38" s="3"/>
      <c r="R38" s="3"/>
    </row>
    <row r="39" spans="1:18" s="18" customFormat="1" ht="39" customHeight="1" x14ac:dyDescent="0.2">
      <c r="A39" s="201"/>
      <c r="B39" s="201"/>
      <c r="C39" s="201"/>
      <c r="D39" s="201"/>
      <c r="E39" s="175" t="s">
        <v>12</v>
      </c>
      <c r="F39" s="25"/>
      <c r="G39" s="25">
        <v>50018</v>
      </c>
      <c r="H39" s="33">
        <f t="shared" si="0"/>
        <v>50018</v>
      </c>
      <c r="I39" s="3"/>
      <c r="J39" s="17"/>
      <c r="K39" s="17"/>
      <c r="L39" s="3"/>
      <c r="M39" s="3"/>
      <c r="N39" s="3"/>
      <c r="O39" s="3"/>
      <c r="P39" s="3"/>
      <c r="Q39" s="3"/>
      <c r="R39" s="3"/>
    </row>
    <row r="40" spans="1:18" s="18" customFormat="1" ht="33" customHeight="1" x14ac:dyDescent="0.2">
      <c r="A40" s="201"/>
      <c r="B40" s="201"/>
      <c r="C40" s="201"/>
      <c r="D40" s="201"/>
      <c r="E40" s="175" t="s">
        <v>11</v>
      </c>
      <c r="F40" s="25"/>
      <c r="G40" s="25">
        <v>30586</v>
      </c>
      <c r="H40" s="33">
        <f t="shared" si="0"/>
        <v>30586</v>
      </c>
      <c r="I40" s="3"/>
      <c r="J40" s="17"/>
      <c r="K40" s="17"/>
      <c r="L40" s="3"/>
      <c r="M40" s="3"/>
      <c r="N40" s="3"/>
      <c r="O40" s="3"/>
      <c r="P40" s="3"/>
      <c r="Q40" s="3"/>
      <c r="R40" s="3"/>
    </row>
    <row r="41" spans="1:18" s="18" customFormat="1" ht="39" customHeight="1" x14ac:dyDescent="0.2">
      <c r="A41" s="201"/>
      <c r="B41" s="201"/>
      <c r="C41" s="201"/>
      <c r="D41" s="201"/>
      <c r="E41" s="175" t="s">
        <v>487</v>
      </c>
      <c r="F41" s="25"/>
      <c r="G41" s="25">
        <f>318425</f>
        <v>318425</v>
      </c>
      <c r="H41" s="33">
        <f t="shared" si="0"/>
        <v>318425</v>
      </c>
      <c r="I41" s="3"/>
      <c r="J41" s="17"/>
      <c r="K41" s="17"/>
      <c r="L41" s="3"/>
      <c r="M41" s="3"/>
      <c r="N41" s="3"/>
      <c r="O41" s="3"/>
      <c r="P41" s="3"/>
      <c r="Q41" s="3"/>
      <c r="R41" s="3"/>
    </row>
    <row r="42" spans="1:18" s="18" customFormat="1" ht="39" customHeight="1" x14ac:dyDescent="0.2">
      <c r="A42" s="201"/>
      <c r="B42" s="201"/>
      <c r="C42" s="201"/>
      <c r="D42" s="201"/>
      <c r="E42" s="182" t="s">
        <v>157</v>
      </c>
      <c r="F42" s="25"/>
      <c r="G42" s="25">
        <f>48843</f>
        <v>48843</v>
      </c>
      <c r="H42" s="33">
        <f t="shared" si="0"/>
        <v>48843</v>
      </c>
      <c r="I42" s="3"/>
      <c r="J42" s="17"/>
      <c r="K42" s="17"/>
      <c r="L42" s="3"/>
      <c r="M42" s="3"/>
      <c r="N42" s="3"/>
      <c r="O42" s="3"/>
      <c r="P42" s="3"/>
      <c r="Q42" s="3"/>
      <c r="R42" s="3"/>
    </row>
    <row r="43" spans="1:18" s="18" customFormat="1" ht="39" customHeight="1" x14ac:dyDescent="0.2">
      <c r="A43" s="201"/>
      <c r="B43" s="201"/>
      <c r="C43" s="201"/>
      <c r="D43" s="201"/>
      <c r="E43" s="182" t="s">
        <v>100</v>
      </c>
      <c r="F43" s="25"/>
      <c r="G43" s="25">
        <f>32371</f>
        <v>32371</v>
      </c>
      <c r="H43" s="33">
        <f t="shared" si="0"/>
        <v>32371</v>
      </c>
      <c r="I43" s="3"/>
      <c r="J43" s="17"/>
      <c r="K43" s="17"/>
      <c r="L43" s="3"/>
      <c r="M43" s="3"/>
      <c r="N43" s="3"/>
      <c r="O43" s="3"/>
      <c r="P43" s="3"/>
      <c r="Q43" s="3"/>
      <c r="R43" s="3"/>
    </row>
    <row r="44" spans="1:18" s="18" customFormat="1" ht="42.75" customHeight="1" x14ac:dyDescent="0.2">
      <c r="A44" s="201"/>
      <c r="B44" s="201"/>
      <c r="C44" s="201"/>
      <c r="D44" s="201"/>
      <c r="E44" s="181" t="s">
        <v>96</v>
      </c>
      <c r="F44" s="25">
        <v>1100000</v>
      </c>
      <c r="G44" s="25">
        <f>-626718</f>
        <v>-626718</v>
      </c>
      <c r="H44" s="33">
        <f t="shared" si="0"/>
        <v>473282</v>
      </c>
      <c r="I44" s="3"/>
      <c r="J44" s="17"/>
      <c r="K44" s="17"/>
      <c r="L44" s="3"/>
      <c r="M44" s="3"/>
      <c r="N44" s="3"/>
      <c r="O44" s="3"/>
      <c r="P44" s="3"/>
      <c r="Q44" s="3"/>
      <c r="R44" s="3"/>
    </row>
    <row r="45" spans="1:18" s="18" customFormat="1" ht="45" customHeight="1" x14ac:dyDescent="0.2">
      <c r="A45" s="26" t="s">
        <v>334</v>
      </c>
      <c r="B45" s="26" t="s">
        <v>297</v>
      </c>
      <c r="C45" s="26" t="s">
        <v>266</v>
      </c>
      <c r="D45" s="27" t="s">
        <v>267</v>
      </c>
      <c r="E45" s="201"/>
      <c r="F45" s="28">
        <f>SUM(F46:F52)</f>
        <v>9588000</v>
      </c>
      <c r="G45" s="28">
        <f>SUM(G46:G52)</f>
        <v>5859400</v>
      </c>
      <c r="H45" s="30">
        <f>F45+G45</f>
        <v>15447400</v>
      </c>
      <c r="I45" s="3"/>
      <c r="J45" s="17"/>
      <c r="K45" s="17"/>
      <c r="L45" s="3"/>
      <c r="M45" s="3"/>
      <c r="N45" s="3"/>
      <c r="O45" s="3"/>
      <c r="P45" s="3"/>
      <c r="Q45" s="3"/>
      <c r="R45" s="3"/>
    </row>
    <row r="46" spans="1:18" s="18" customFormat="1" ht="57" customHeight="1" x14ac:dyDescent="0.2">
      <c r="A46" s="201"/>
      <c r="B46" s="201"/>
      <c r="C46" s="201"/>
      <c r="D46" s="201"/>
      <c r="E46" s="31" t="s">
        <v>586</v>
      </c>
      <c r="F46" s="32">
        <v>2020000</v>
      </c>
      <c r="G46" s="25"/>
      <c r="H46" s="33">
        <f t="shared" ref="H46:H277" si="1">F46+G46</f>
        <v>2020000</v>
      </c>
      <c r="I46" s="3"/>
      <c r="J46" s="17"/>
      <c r="K46" s="17"/>
      <c r="L46" s="3"/>
      <c r="M46" s="3"/>
      <c r="N46" s="3"/>
      <c r="O46" s="3"/>
      <c r="P46" s="3"/>
      <c r="Q46" s="3"/>
      <c r="R46" s="3"/>
    </row>
    <row r="47" spans="1:18" s="18" customFormat="1" ht="57" customHeight="1" x14ac:dyDescent="0.2">
      <c r="A47" s="201"/>
      <c r="B47" s="201"/>
      <c r="C47" s="201"/>
      <c r="D47" s="201"/>
      <c r="E47" s="182" t="s">
        <v>587</v>
      </c>
      <c r="F47" s="32"/>
      <c r="G47" s="25">
        <f>340000</f>
        <v>340000</v>
      </c>
      <c r="H47" s="33">
        <f t="shared" si="1"/>
        <v>340000</v>
      </c>
      <c r="I47" s="3"/>
      <c r="J47" s="17"/>
      <c r="K47" s="17"/>
      <c r="L47" s="3"/>
      <c r="M47" s="3"/>
      <c r="N47" s="3"/>
      <c r="O47" s="3"/>
      <c r="P47" s="3"/>
      <c r="Q47" s="3"/>
      <c r="R47" s="3"/>
    </row>
    <row r="48" spans="1:18" s="18" customFormat="1" ht="81.75" customHeight="1" x14ac:dyDescent="0.2">
      <c r="A48" s="201"/>
      <c r="B48" s="201"/>
      <c r="C48" s="201"/>
      <c r="D48" s="201"/>
      <c r="E48" s="176" t="s">
        <v>234</v>
      </c>
      <c r="F48" s="32"/>
      <c r="G48" s="25">
        <f>122400</f>
        <v>122400</v>
      </c>
      <c r="H48" s="33">
        <f t="shared" si="1"/>
        <v>122400</v>
      </c>
      <c r="I48" s="3"/>
      <c r="J48" s="17"/>
      <c r="K48" s="17"/>
      <c r="L48" s="3"/>
      <c r="M48" s="3"/>
      <c r="N48" s="3"/>
      <c r="O48" s="3"/>
      <c r="P48" s="3"/>
      <c r="Q48" s="3"/>
      <c r="R48" s="3"/>
    </row>
    <row r="49" spans="1:18" s="18" customFormat="1" ht="57" customHeight="1" x14ac:dyDescent="0.2">
      <c r="A49" s="201"/>
      <c r="B49" s="201"/>
      <c r="C49" s="201"/>
      <c r="D49" s="201"/>
      <c r="E49" s="34" t="s">
        <v>733</v>
      </c>
      <c r="F49" s="32">
        <v>1448000</v>
      </c>
      <c r="G49" s="25"/>
      <c r="H49" s="33">
        <f t="shared" si="1"/>
        <v>1448000</v>
      </c>
      <c r="I49" s="3"/>
      <c r="J49" s="17"/>
      <c r="K49" s="17"/>
      <c r="L49" s="3"/>
      <c r="M49" s="3"/>
      <c r="N49" s="3"/>
      <c r="O49" s="3"/>
      <c r="P49" s="3"/>
      <c r="Q49" s="3"/>
      <c r="R49" s="3"/>
    </row>
    <row r="50" spans="1:18" s="18" customFormat="1" ht="57" customHeight="1" x14ac:dyDescent="0.2">
      <c r="A50" s="201"/>
      <c r="B50" s="201"/>
      <c r="C50" s="201"/>
      <c r="D50" s="201"/>
      <c r="E50" s="31" t="s">
        <v>585</v>
      </c>
      <c r="F50" s="32">
        <v>6120000</v>
      </c>
      <c r="G50" s="25">
        <f>300000+800000+300000+300000</f>
        <v>1700000</v>
      </c>
      <c r="H50" s="33">
        <f t="shared" si="1"/>
        <v>7820000</v>
      </c>
      <c r="I50" s="3"/>
      <c r="J50" s="17"/>
      <c r="K50" s="17"/>
      <c r="L50" s="3"/>
      <c r="M50" s="3"/>
      <c r="N50" s="3"/>
      <c r="O50" s="3"/>
      <c r="P50" s="3"/>
      <c r="Q50" s="3"/>
      <c r="R50" s="3"/>
    </row>
    <row r="51" spans="1:18" s="18" customFormat="1" ht="83.25" customHeight="1" x14ac:dyDescent="0.2">
      <c r="A51" s="201"/>
      <c r="B51" s="201"/>
      <c r="C51" s="201"/>
      <c r="D51" s="201"/>
      <c r="E51" s="176" t="s">
        <v>588</v>
      </c>
      <c r="F51" s="32"/>
      <c r="G51" s="25">
        <f>2163000+750000</f>
        <v>2913000</v>
      </c>
      <c r="H51" s="33">
        <f t="shared" si="1"/>
        <v>2913000</v>
      </c>
      <c r="I51" s="3"/>
      <c r="J51" s="17"/>
      <c r="K51" s="17"/>
      <c r="L51" s="3"/>
      <c r="M51" s="3"/>
      <c r="N51" s="3"/>
      <c r="O51" s="3"/>
      <c r="P51" s="3"/>
      <c r="Q51" s="3"/>
      <c r="R51" s="3"/>
    </row>
    <row r="52" spans="1:18" s="18" customFormat="1" ht="66" customHeight="1" x14ac:dyDescent="0.2">
      <c r="A52" s="201"/>
      <c r="B52" s="201"/>
      <c r="C52" s="201"/>
      <c r="D52" s="201"/>
      <c r="E52" s="176" t="s">
        <v>174</v>
      </c>
      <c r="F52" s="32"/>
      <c r="G52" s="25">
        <f>534000+250000</f>
        <v>784000</v>
      </c>
      <c r="H52" s="33">
        <f t="shared" si="1"/>
        <v>784000</v>
      </c>
      <c r="I52" s="3"/>
      <c r="J52" s="17"/>
      <c r="K52" s="17"/>
      <c r="L52" s="3"/>
      <c r="M52" s="3"/>
      <c r="N52" s="3"/>
      <c r="O52" s="3"/>
      <c r="P52" s="3"/>
      <c r="Q52" s="3"/>
      <c r="R52" s="3"/>
    </row>
    <row r="53" spans="1:18" s="3" customFormat="1" ht="46.5" customHeight="1" x14ac:dyDescent="0.2">
      <c r="A53" s="19">
        <v>1500000</v>
      </c>
      <c r="B53" s="20"/>
      <c r="C53" s="20"/>
      <c r="D53" s="19" t="s">
        <v>282</v>
      </c>
      <c r="E53" s="35"/>
      <c r="F53" s="13">
        <f>F71+F86+F84+F79+F61+F57+F93+F55+F59+F90+F82</f>
        <v>207342875</v>
      </c>
      <c r="G53" s="13">
        <f>G71+G86+G84+G79+G61+G57+G93+G55+G59+G90+G82</f>
        <v>-32300519</v>
      </c>
      <c r="H53" s="13">
        <f>F53+G53</f>
        <v>175042356</v>
      </c>
      <c r="J53" s="17"/>
      <c r="K53" s="17"/>
    </row>
    <row r="54" spans="1:18" s="3" customFormat="1" ht="46.5" customHeight="1" x14ac:dyDescent="0.2">
      <c r="A54" s="19">
        <v>1510000</v>
      </c>
      <c r="B54" s="20"/>
      <c r="C54" s="20"/>
      <c r="D54" s="36" t="s">
        <v>282</v>
      </c>
      <c r="E54" s="35"/>
      <c r="F54" s="33"/>
      <c r="G54" s="13"/>
      <c r="H54" s="33">
        <f t="shared" si="1"/>
        <v>0</v>
      </c>
      <c r="J54" s="37"/>
      <c r="K54" s="17"/>
    </row>
    <row r="55" spans="1:18" s="3" customFormat="1" ht="31.5" customHeight="1" x14ac:dyDescent="0.2">
      <c r="A55" s="191" t="s">
        <v>346</v>
      </c>
      <c r="B55" s="191" t="s">
        <v>269</v>
      </c>
      <c r="C55" s="191" t="s">
        <v>270</v>
      </c>
      <c r="D55" s="215" t="s">
        <v>312</v>
      </c>
      <c r="E55" s="35"/>
      <c r="F55" s="30">
        <f>SUM(F56)</f>
        <v>0</v>
      </c>
      <c r="G55" s="30">
        <f>SUM(G56)</f>
        <v>25409</v>
      </c>
      <c r="H55" s="30">
        <f t="shared" si="1"/>
        <v>25409</v>
      </c>
      <c r="J55" s="37"/>
      <c r="K55" s="17"/>
    </row>
    <row r="56" spans="1:18" s="3" customFormat="1" ht="31.5" customHeight="1" x14ac:dyDescent="0.2">
      <c r="A56" s="19"/>
      <c r="B56" s="20"/>
      <c r="C56" s="20"/>
      <c r="D56" s="36"/>
      <c r="E56" s="184" t="s">
        <v>625</v>
      </c>
      <c r="F56" s="33"/>
      <c r="G56" s="33">
        <f>25409</f>
        <v>25409</v>
      </c>
      <c r="H56" s="33">
        <f t="shared" si="1"/>
        <v>25409</v>
      </c>
      <c r="J56" s="37"/>
      <c r="K56" s="17"/>
    </row>
    <row r="57" spans="1:18" s="3" customFormat="1" ht="41.25" customHeight="1" x14ac:dyDescent="0.2">
      <c r="A57" s="49" t="s">
        <v>348</v>
      </c>
      <c r="B57" s="49" t="s">
        <v>259</v>
      </c>
      <c r="C57" s="49" t="s">
        <v>260</v>
      </c>
      <c r="D57" s="50" t="s">
        <v>261</v>
      </c>
      <c r="E57" s="35"/>
      <c r="F57" s="30">
        <f>SUM(F58)</f>
        <v>0</v>
      </c>
      <c r="G57" s="30">
        <f>SUM(G58)</f>
        <v>99339</v>
      </c>
      <c r="H57" s="30">
        <f>F57+G57</f>
        <v>99339</v>
      </c>
      <c r="J57" s="37"/>
      <c r="K57" s="17"/>
    </row>
    <row r="58" spans="1:18" s="3" customFormat="1" ht="55.5" customHeight="1" x14ac:dyDescent="0.2">
      <c r="A58" s="19"/>
      <c r="B58" s="20"/>
      <c r="C58" s="20"/>
      <c r="D58" s="36"/>
      <c r="E58" s="184" t="s">
        <v>645</v>
      </c>
      <c r="F58" s="33"/>
      <c r="G58" s="33">
        <f>99339</f>
        <v>99339</v>
      </c>
      <c r="H58" s="33">
        <f>F58+G58</f>
        <v>99339</v>
      </c>
      <c r="J58" s="37"/>
      <c r="K58" s="17"/>
    </row>
    <row r="59" spans="1:18" s="3" customFormat="1" ht="40.5" customHeight="1" x14ac:dyDescent="0.2">
      <c r="A59" s="219" t="s">
        <v>349</v>
      </c>
      <c r="B59" s="219" t="s">
        <v>320</v>
      </c>
      <c r="C59" s="219" t="s">
        <v>262</v>
      </c>
      <c r="D59" s="220" t="s">
        <v>263</v>
      </c>
      <c r="E59" s="35"/>
      <c r="F59" s="30">
        <f>SUM(F60)</f>
        <v>0</v>
      </c>
      <c r="G59" s="30">
        <f>SUM(G60)</f>
        <v>415503</v>
      </c>
      <c r="H59" s="30">
        <f>F59+G59</f>
        <v>415503</v>
      </c>
      <c r="J59" s="37"/>
      <c r="K59" s="17"/>
    </row>
    <row r="60" spans="1:18" s="3" customFormat="1" ht="55.5" customHeight="1" x14ac:dyDescent="0.2">
      <c r="A60" s="19"/>
      <c r="B60" s="20"/>
      <c r="C60" s="20"/>
      <c r="D60" s="36"/>
      <c r="E60" s="184" t="s">
        <v>505</v>
      </c>
      <c r="F60" s="33"/>
      <c r="G60" s="33">
        <f>237073+178430</f>
        <v>415503</v>
      </c>
      <c r="H60" s="33">
        <f>F60+G60</f>
        <v>415503</v>
      </c>
      <c r="J60" s="37"/>
      <c r="K60" s="17"/>
    </row>
    <row r="61" spans="1:18" s="3" customFormat="1" ht="46.5" customHeight="1" x14ac:dyDescent="0.2">
      <c r="A61" s="26" t="s">
        <v>350</v>
      </c>
      <c r="B61" s="26" t="s">
        <v>330</v>
      </c>
      <c r="C61" s="26" t="s">
        <v>281</v>
      </c>
      <c r="D61" s="26" t="s">
        <v>331</v>
      </c>
      <c r="E61" s="35"/>
      <c r="F61" s="30">
        <f>SUM(F62:F70)</f>
        <v>980000</v>
      </c>
      <c r="G61" s="30">
        <f>SUM(G62:G70)</f>
        <v>542266</v>
      </c>
      <c r="H61" s="30">
        <f t="shared" si="1"/>
        <v>1522266</v>
      </c>
      <c r="J61" s="37"/>
      <c r="K61" s="17"/>
    </row>
    <row r="62" spans="1:18" s="3" customFormat="1" ht="37.5" customHeight="1" x14ac:dyDescent="0.2">
      <c r="A62" s="26"/>
      <c r="B62" s="26"/>
      <c r="C62" s="26"/>
      <c r="D62" s="26"/>
      <c r="E62" s="212" t="s">
        <v>507</v>
      </c>
      <c r="F62" s="30"/>
      <c r="G62" s="30"/>
      <c r="H62" s="30"/>
      <c r="J62" s="37"/>
      <c r="K62" s="17"/>
    </row>
    <row r="63" spans="1:18" s="3" customFormat="1" ht="37.5" customHeight="1" x14ac:dyDescent="0.2">
      <c r="A63" s="19"/>
      <c r="B63" s="20"/>
      <c r="C63" s="20"/>
      <c r="D63" s="36"/>
      <c r="E63" s="38" t="s">
        <v>511</v>
      </c>
      <c r="F63" s="33">
        <f>980000</f>
        <v>980000</v>
      </c>
      <c r="G63" s="33"/>
      <c r="H63" s="33">
        <f t="shared" si="1"/>
        <v>980000</v>
      </c>
      <c r="J63" s="37"/>
      <c r="K63" s="17"/>
    </row>
    <row r="64" spans="1:18" s="3" customFormat="1" ht="21" customHeight="1" x14ac:dyDescent="0.2">
      <c r="A64" s="19"/>
      <c r="B64" s="20"/>
      <c r="C64" s="20"/>
      <c r="D64" s="36"/>
      <c r="E64" s="184" t="s">
        <v>518</v>
      </c>
      <c r="F64" s="33"/>
      <c r="G64" s="33">
        <f>108668</f>
        <v>108668</v>
      </c>
      <c r="H64" s="33">
        <f t="shared" si="1"/>
        <v>108668</v>
      </c>
      <c r="J64" s="37"/>
      <c r="K64" s="17"/>
    </row>
    <row r="65" spans="1:11" s="3" customFormat="1" ht="21" customHeight="1" x14ac:dyDescent="0.2">
      <c r="A65" s="19"/>
      <c r="B65" s="20"/>
      <c r="C65" s="20"/>
      <c r="D65" s="36"/>
      <c r="E65" s="184" t="s">
        <v>519</v>
      </c>
      <c r="F65" s="33"/>
      <c r="G65" s="33">
        <f>141000</f>
        <v>141000</v>
      </c>
      <c r="H65" s="33">
        <f t="shared" si="1"/>
        <v>141000</v>
      </c>
      <c r="J65" s="37"/>
      <c r="K65" s="17"/>
    </row>
    <row r="66" spans="1:11" s="3" customFormat="1" ht="39.75" customHeight="1" x14ac:dyDescent="0.2">
      <c r="A66" s="19"/>
      <c r="B66" s="20"/>
      <c r="C66" s="20"/>
      <c r="D66" s="36"/>
      <c r="E66" s="184" t="s">
        <v>517</v>
      </c>
      <c r="F66" s="33"/>
      <c r="G66" s="33">
        <f>54092</f>
        <v>54092</v>
      </c>
      <c r="H66" s="33">
        <f t="shared" si="1"/>
        <v>54092</v>
      </c>
      <c r="J66" s="37"/>
      <c r="K66" s="17"/>
    </row>
    <row r="67" spans="1:11" s="3" customFormat="1" ht="28.5" customHeight="1" x14ac:dyDescent="0.2">
      <c r="A67" s="19"/>
      <c r="B67" s="20"/>
      <c r="C67" s="20"/>
      <c r="D67" s="36"/>
      <c r="E67" s="212" t="s">
        <v>508</v>
      </c>
      <c r="F67" s="33"/>
      <c r="G67" s="33"/>
      <c r="H67" s="33"/>
      <c r="J67" s="37"/>
      <c r="K67" s="17"/>
    </row>
    <row r="68" spans="1:11" s="3" customFormat="1" ht="39.75" customHeight="1" x14ac:dyDescent="0.2">
      <c r="A68" s="19"/>
      <c r="B68" s="20"/>
      <c r="C68" s="20"/>
      <c r="D68" s="36"/>
      <c r="E68" s="185" t="s">
        <v>509</v>
      </c>
      <c r="F68" s="33"/>
      <c r="G68" s="33">
        <f>9486</f>
        <v>9486</v>
      </c>
      <c r="H68" s="33">
        <f t="shared" si="1"/>
        <v>9486</v>
      </c>
      <c r="J68" s="37"/>
      <c r="K68" s="17"/>
    </row>
    <row r="69" spans="1:11" s="3" customFormat="1" ht="33" customHeight="1" x14ac:dyDescent="0.2">
      <c r="A69" s="19"/>
      <c r="B69" s="20"/>
      <c r="C69" s="20"/>
      <c r="D69" s="36"/>
      <c r="E69" s="212" t="s">
        <v>510</v>
      </c>
      <c r="F69" s="33"/>
      <c r="G69" s="33"/>
      <c r="H69" s="33"/>
      <c r="J69" s="37"/>
      <c r="K69" s="17"/>
    </row>
    <row r="70" spans="1:11" s="3" customFormat="1" ht="37.5" customHeight="1" x14ac:dyDescent="0.2">
      <c r="A70" s="19"/>
      <c r="B70" s="20"/>
      <c r="C70" s="20"/>
      <c r="D70" s="36"/>
      <c r="E70" s="184" t="s">
        <v>524</v>
      </c>
      <c r="F70" s="33"/>
      <c r="G70" s="33">
        <f>229020</f>
        <v>229020</v>
      </c>
      <c r="H70" s="33">
        <f t="shared" si="1"/>
        <v>229020</v>
      </c>
      <c r="J70" s="37"/>
      <c r="K70" s="17"/>
    </row>
    <row r="71" spans="1:11" s="3" customFormat="1" ht="42.75" customHeight="1" x14ac:dyDescent="0.2">
      <c r="A71" s="26" t="s">
        <v>306</v>
      </c>
      <c r="B71" s="26" t="s">
        <v>307</v>
      </c>
      <c r="C71" s="26" t="s">
        <v>308</v>
      </c>
      <c r="D71" s="39" t="s">
        <v>309</v>
      </c>
      <c r="E71" s="40"/>
      <c r="F71" s="30">
        <f>SUM(F72:F78)</f>
        <v>23954720</v>
      </c>
      <c r="G71" s="30">
        <f>SUM(G72:G78)</f>
        <v>-15091052</v>
      </c>
      <c r="H71" s="30">
        <f t="shared" si="1"/>
        <v>8863668</v>
      </c>
      <c r="J71" s="17"/>
      <c r="K71" s="17"/>
    </row>
    <row r="72" spans="1:11" s="18" customFormat="1" x14ac:dyDescent="0.2">
      <c r="A72" s="26"/>
      <c r="B72" s="26"/>
      <c r="C72" s="26"/>
      <c r="D72" s="39"/>
      <c r="E72" s="212" t="s">
        <v>543</v>
      </c>
      <c r="F72" s="25"/>
      <c r="G72" s="25"/>
      <c r="H72" s="33"/>
      <c r="J72" s="42"/>
      <c r="K72" s="42"/>
    </row>
    <row r="73" spans="1:11" s="18" customFormat="1" ht="37.5" x14ac:dyDescent="0.2">
      <c r="A73" s="26"/>
      <c r="B73" s="26"/>
      <c r="C73" s="26"/>
      <c r="D73" s="39"/>
      <c r="E73" s="184" t="s">
        <v>528</v>
      </c>
      <c r="F73" s="25"/>
      <c r="G73" s="25">
        <f>25576</f>
        <v>25576</v>
      </c>
      <c r="H73" s="33">
        <f t="shared" si="1"/>
        <v>25576</v>
      </c>
      <c r="J73" s="42"/>
      <c r="K73" s="42"/>
    </row>
    <row r="74" spans="1:11" s="18" customFormat="1" ht="37.5" x14ac:dyDescent="0.2">
      <c r="A74" s="26"/>
      <c r="B74" s="26"/>
      <c r="C74" s="26"/>
      <c r="D74" s="39"/>
      <c r="E74" s="184" t="s">
        <v>668</v>
      </c>
      <c r="F74" s="25"/>
      <c r="G74" s="25">
        <f>2224</f>
        <v>2224</v>
      </c>
      <c r="H74" s="33">
        <f t="shared" si="1"/>
        <v>2224</v>
      </c>
      <c r="J74" s="42"/>
      <c r="K74" s="42"/>
    </row>
    <row r="75" spans="1:11" s="18" customFormat="1" x14ac:dyDescent="0.2">
      <c r="A75" s="26"/>
      <c r="B75" s="26"/>
      <c r="C75" s="26"/>
      <c r="D75" s="39"/>
      <c r="E75" s="212" t="s">
        <v>542</v>
      </c>
      <c r="F75" s="25"/>
      <c r="G75" s="25"/>
      <c r="H75" s="33">
        <f t="shared" si="1"/>
        <v>0</v>
      </c>
      <c r="J75" s="42"/>
      <c r="K75" s="42"/>
    </row>
    <row r="76" spans="1:11" s="18" customFormat="1" ht="93.75" x14ac:dyDescent="0.2">
      <c r="A76" s="26"/>
      <c r="B76" s="26"/>
      <c r="C76" s="26"/>
      <c r="D76" s="39"/>
      <c r="E76" s="41" t="s">
        <v>531</v>
      </c>
      <c r="F76" s="25">
        <v>30336</v>
      </c>
      <c r="G76" s="25"/>
      <c r="H76" s="33">
        <f t="shared" si="1"/>
        <v>30336</v>
      </c>
      <c r="J76" s="42"/>
      <c r="K76" s="42"/>
    </row>
    <row r="77" spans="1:11" s="18" customFormat="1" ht="75" x14ac:dyDescent="0.2">
      <c r="A77" s="26"/>
      <c r="B77" s="26"/>
      <c r="C77" s="26"/>
      <c r="D77" s="39"/>
      <c r="E77" s="41" t="s">
        <v>451</v>
      </c>
      <c r="F77" s="25">
        <v>23924384</v>
      </c>
      <c r="G77" s="25">
        <f>-2971853-3998679-997735-1280182-1845132-800000-2512288-450000-889701+626718</f>
        <v>-15118852</v>
      </c>
      <c r="H77" s="33">
        <f t="shared" si="1"/>
        <v>8805532</v>
      </c>
      <c r="J77" s="42"/>
      <c r="K77" s="42"/>
    </row>
    <row r="78" spans="1:11" s="18" customFormat="1" x14ac:dyDescent="0.2">
      <c r="A78" s="26"/>
      <c r="B78" s="26"/>
      <c r="C78" s="26"/>
      <c r="D78" s="39"/>
      <c r="E78" s="41"/>
      <c r="F78" s="25"/>
      <c r="G78" s="25"/>
      <c r="H78" s="33"/>
      <c r="J78" s="42"/>
      <c r="K78" s="42"/>
    </row>
    <row r="79" spans="1:11" s="18" customFormat="1" x14ac:dyDescent="0.2">
      <c r="A79" s="26" t="s">
        <v>341</v>
      </c>
      <c r="B79" s="26" t="s">
        <v>335</v>
      </c>
      <c r="C79" s="26" t="s">
        <v>308</v>
      </c>
      <c r="D79" s="39" t="s">
        <v>336</v>
      </c>
      <c r="E79" s="41"/>
      <c r="F79" s="29">
        <f>SUM(F80:F81)</f>
        <v>10732000</v>
      </c>
      <c r="G79" s="29">
        <f>SUM(G80:G81)</f>
        <v>-345234</v>
      </c>
      <c r="H79" s="30">
        <f t="shared" si="1"/>
        <v>10386766</v>
      </c>
      <c r="J79" s="42"/>
      <c r="K79" s="42"/>
    </row>
    <row r="80" spans="1:11" s="18" customFormat="1" ht="37.5" x14ac:dyDescent="0.2">
      <c r="A80" s="26"/>
      <c r="B80" s="26"/>
      <c r="C80" s="26"/>
      <c r="D80" s="39"/>
      <c r="E80" s="43" t="s">
        <v>716</v>
      </c>
      <c r="F80" s="25">
        <f>1000000</f>
        <v>1000000</v>
      </c>
      <c r="G80" s="25"/>
      <c r="H80" s="33">
        <f t="shared" si="1"/>
        <v>1000000</v>
      </c>
      <c r="J80" s="42"/>
      <c r="K80" s="42"/>
    </row>
    <row r="81" spans="1:18" s="18" customFormat="1" x14ac:dyDescent="0.2">
      <c r="A81" s="26"/>
      <c r="B81" s="26"/>
      <c r="C81" s="26"/>
      <c r="D81" s="39"/>
      <c r="E81" s="31" t="s">
        <v>547</v>
      </c>
      <c r="F81" s="25">
        <f>2500000+5000000+2232000</f>
        <v>9732000</v>
      </c>
      <c r="G81" s="25">
        <f>4800+634480+173920-677525-925008+444099</f>
        <v>-345234</v>
      </c>
      <c r="H81" s="33">
        <f t="shared" si="1"/>
        <v>9386766</v>
      </c>
      <c r="J81" s="42"/>
      <c r="K81" s="42"/>
    </row>
    <row r="82" spans="1:18" s="18" customFormat="1" x14ac:dyDescent="0.2">
      <c r="A82" s="26" t="s">
        <v>342</v>
      </c>
      <c r="B82" s="26" t="s">
        <v>337</v>
      </c>
      <c r="C82" s="26" t="s">
        <v>308</v>
      </c>
      <c r="D82" s="39" t="s">
        <v>338</v>
      </c>
      <c r="E82" s="12"/>
      <c r="F82" s="25">
        <f>F83</f>
        <v>0</v>
      </c>
      <c r="G82" s="25">
        <f>G83</f>
        <v>445602</v>
      </c>
      <c r="H82" s="30">
        <f>F82+G82</f>
        <v>445602</v>
      </c>
      <c r="J82" s="42"/>
      <c r="K82" s="42"/>
    </row>
    <row r="83" spans="1:18" s="18" customFormat="1" ht="37.5" x14ac:dyDescent="0.2">
      <c r="A83" s="26"/>
      <c r="B83" s="26"/>
      <c r="C83" s="26"/>
      <c r="D83" s="39"/>
      <c r="E83" s="205" t="s">
        <v>560</v>
      </c>
      <c r="F83" s="25"/>
      <c r="G83" s="25">
        <f>445602</f>
        <v>445602</v>
      </c>
      <c r="H83" s="33">
        <f>F83+G83</f>
        <v>445602</v>
      </c>
      <c r="J83" s="42"/>
      <c r="K83" s="42"/>
    </row>
    <row r="84" spans="1:18" s="18" customFormat="1" ht="37.5" x14ac:dyDescent="0.2">
      <c r="A84" s="26" t="s">
        <v>343</v>
      </c>
      <c r="B84" s="26" t="s">
        <v>339</v>
      </c>
      <c r="C84" s="26" t="s">
        <v>308</v>
      </c>
      <c r="D84" s="39" t="s">
        <v>340</v>
      </c>
      <c r="E84" s="41"/>
      <c r="F84" s="25">
        <f>F85</f>
        <v>8200000</v>
      </c>
      <c r="G84" s="25">
        <f>G85</f>
        <v>-2077827</v>
      </c>
      <c r="H84" s="30">
        <f>F84+G84</f>
        <v>6122173</v>
      </c>
      <c r="J84" s="42"/>
      <c r="K84" s="42"/>
    </row>
    <row r="85" spans="1:18" s="18" customFormat="1" x14ac:dyDescent="0.2">
      <c r="A85" s="26"/>
      <c r="B85" s="26"/>
      <c r="C85" s="26"/>
      <c r="D85" s="39"/>
      <c r="E85" s="41" t="s">
        <v>561</v>
      </c>
      <c r="F85" s="25">
        <f>8200000</f>
        <v>8200000</v>
      </c>
      <c r="G85" s="25">
        <f>-370000-1000000-99436-308391-300000</f>
        <v>-2077827</v>
      </c>
      <c r="H85" s="33">
        <f t="shared" si="1"/>
        <v>6122173</v>
      </c>
      <c r="J85" s="42"/>
      <c r="K85" s="42"/>
    </row>
    <row r="86" spans="1:18" s="3" customFormat="1" ht="54" customHeight="1" x14ac:dyDescent="0.2">
      <c r="A86" s="26" t="s">
        <v>344</v>
      </c>
      <c r="B86" s="26" t="s">
        <v>345</v>
      </c>
      <c r="C86" s="26" t="s">
        <v>308</v>
      </c>
      <c r="D86" s="39" t="s">
        <v>76</v>
      </c>
      <c r="E86" s="43"/>
      <c r="F86" s="30">
        <f>SUM(F87:F89)</f>
        <v>163476155</v>
      </c>
      <c r="G86" s="30">
        <f>SUM(G87:G89)</f>
        <v>-17427375</v>
      </c>
      <c r="H86" s="30">
        <f>F86+G86</f>
        <v>146048780</v>
      </c>
      <c r="J86" s="37"/>
      <c r="K86" s="17"/>
    </row>
    <row r="87" spans="1:18" s="18" customFormat="1" ht="37.5" x14ac:dyDescent="0.2">
      <c r="A87" s="26"/>
      <c r="B87" s="26"/>
      <c r="C87" s="26"/>
      <c r="D87" s="39"/>
      <c r="E87" s="44" t="s">
        <v>376</v>
      </c>
      <c r="F87" s="45">
        <v>146040000</v>
      </c>
      <c r="G87" s="46"/>
      <c r="H87" s="33">
        <f t="shared" si="1"/>
        <v>146040000</v>
      </c>
      <c r="J87" s="42"/>
      <c r="K87" s="42"/>
    </row>
    <row r="88" spans="1:18" s="18" customFormat="1" ht="56.25" x14ac:dyDescent="0.2">
      <c r="A88" s="26"/>
      <c r="B88" s="26"/>
      <c r="C88" s="26"/>
      <c r="D88" s="39"/>
      <c r="E88" s="44" t="s">
        <v>563</v>
      </c>
      <c r="F88" s="45"/>
      <c r="G88" s="46">
        <f>7105</f>
        <v>7105</v>
      </c>
      <c r="H88" s="33">
        <f t="shared" si="1"/>
        <v>7105</v>
      </c>
      <c r="J88" s="42"/>
      <c r="K88" s="42"/>
    </row>
    <row r="89" spans="1:18" s="18" customFormat="1" ht="37.5" x14ac:dyDescent="0.2">
      <c r="A89" s="26"/>
      <c r="B89" s="26"/>
      <c r="C89" s="26"/>
      <c r="D89" s="39"/>
      <c r="E89" s="44" t="s">
        <v>660</v>
      </c>
      <c r="F89" s="45">
        <v>17436155</v>
      </c>
      <c r="G89" s="46">
        <f>-16800000-634480</f>
        <v>-17434480</v>
      </c>
      <c r="H89" s="33">
        <f t="shared" si="1"/>
        <v>1675</v>
      </c>
      <c r="J89" s="42"/>
      <c r="K89" s="42"/>
    </row>
    <row r="90" spans="1:18" s="18" customFormat="1" ht="37.5" x14ac:dyDescent="0.2">
      <c r="A90" s="191" t="s">
        <v>351</v>
      </c>
      <c r="B90" s="191" t="s">
        <v>352</v>
      </c>
      <c r="C90" s="191" t="s">
        <v>308</v>
      </c>
      <c r="D90" s="215" t="s">
        <v>353</v>
      </c>
      <c r="E90" s="44"/>
      <c r="F90" s="45">
        <f>SUM(F91:F92)</f>
        <v>0</v>
      </c>
      <c r="G90" s="45">
        <f>SUM(G91:G92)</f>
        <v>462850</v>
      </c>
      <c r="H90" s="30">
        <f>F90+G90</f>
        <v>462850</v>
      </c>
      <c r="J90" s="42"/>
      <c r="K90" s="42"/>
    </row>
    <row r="91" spans="1:18" s="18" customFormat="1" ht="37.5" x14ac:dyDescent="0.2">
      <c r="A91" s="26"/>
      <c r="B91" s="26"/>
      <c r="C91" s="26"/>
      <c r="D91" s="39"/>
      <c r="E91" s="184" t="s">
        <v>567</v>
      </c>
      <c r="F91" s="45"/>
      <c r="G91" s="46">
        <f>400000</f>
        <v>400000</v>
      </c>
      <c r="H91" s="33">
        <f t="shared" si="1"/>
        <v>400000</v>
      </c>
      <c r="J91" s="42"/>
      <c r="K91" s="42"/>
    </row>
    <row r="92" spans="1:18" s="18" customFormat="1" ht="131.25" x14ac:dyDescent="0.2">
      <c r="A92" s="26"/>
      <c r="B92" s="26"/>
      <c r="C92" s="26"/>
      <c r="D92" s="39"/>
      <c r="E92" s="184" t="s">
        <v>682</v>
      </c>
      <c r="F92" s="45"/>
      <c r="G92" s="46">
        <f>62850</f>
        <v>62850</v>
      </c>
      <c r="H92" s="33">
        <f t="shared" si="1"/>
        <v>62850</v>
      </c>
      <c r="J92" s="42"/>
      <c r="K92" s="42"/>
    </row>
    <row r="93" spans="1:18" s="18" customFormat="1" ht="37.5" x14ac:dyDescent="0.2">
      <c r="A93" s="191" t="s">
        <v>433</v>
      </c>
      <c r="B93" s="191" t="s">
        <v>435</v>
      </c>
      <c r="C93" s="191" t="s">
        <v>266</v>
      </c>
      <c r="D93" s="215" t="s">
        <v>434</v>
      </c>
      <c r="E93" s="216"/>
      <c r="F93" s="45">
        <f>SUM(F94)</f>
        <v>0</v>
      </c>
      <c r="G93" s="45">
        <f>SUM(G94)</f>
        <v>650000</v>
      </c>
      <c r="H93" s="30">
        <f>F93+G93</f>
        <v>650000</v>
      </c>
      <c r="J93" s="42"/>
      <c r="K93" s="42"/>
    </row>
    <row r="94" spans="1:18" s="18" customFormat="1" ht="56.25" x14ac:dyDescent="0.2">
      <c r="A94" s="191"/>
      <c r="B94" s="191"/>
      <c r="C94" s="217"/>
      <c r="D94" s="217"/>
      <c r="E94" s="218" t="s">
        <v>627</v>
      </c>
      <c r="F94" s="45"/>
      <c r="G94" s="46">
        <f>200000+450000</f>
        <v>650000</v>
      </c>
      <c r="H94" s="33">
        <f t="shared" si="1"/>
        <v>650000</v>
      </c>
      <c r="J94" s="42"/>
      <c r="K94" s="42"/>
    </row>
    <row r="95" spans="1:18" s="18" customFormat="1" ht="42" customHeight="1" x14ac:dyDescent="0.2">
      <c r="A95" s="20" t="s">
        <v>354</v>
      </c>
      <c r="B95" s="20"/>
      <c r="C95" s="20"/>
      <c r="D95" s="20" t="s">
        <v>124</v>
      </c>
      <c r="E95" s="38"/>
      <c r="F95" s="13">
        <f>F97</f>
        <v>0</v>
      </c>
      <c r="G95" s="13">
        <f>G97</f>
        <v>100000</v>
      </c>
      <c r="H95" s="13">
        <f>F95+G95</f>
        <v>100000</v>
      </c>
      <c r="I95" s="3"/>
      <c r="J95" s="17"/>
      <c r="K95" s="17"/>
      <c r="L95" s="3"/>
      <c r="M95" s="3"/>
      <c r="N95" s="3"/>
      <c r="O95" s="3"/>
      <c r="P95" s="3"/>
      <c r="Q95" s="3"/>
      <c r="R95" s="3"/>
    </row>
    <row r="96" spans="1:18" s="18" customFormat="1" ht="42" customHeight="1" x14ac:dyDescent="0.2">
      <c r="A96" s="20" t="s">
        <v>355</v>
      </c>
      <c r="B96" s="20"/>
      <c r="C96" s="20"/>
      <c r="D96" s="23" t="s">
        <v>124</v>
      </c>
      <c r="E96" s="38"/>
      <c r="F96" s="33"/>
      <c r="G96" s="46"/>
      <c r="H96" s="13">
        <f>F96+G96</f>
        <v>0</v>
      </c>
      <c r="I96" s="3"/>
      <c r="J96" s="17"/>
      <c r="K96" s="17"/>
      <c r="L96" s="3"/>
      <c r="M96" s="3"/>
      <c r="N96" s="3"/>
      <c r="O96" s="3"/>
      <c r="P96" s="3"/>
      <c r="Q96" s="3"/>
      <c r="R96" s="3"/>
    </row>
    <row r="97" spans="1:18" s="52" customFormat="1" ht="37.5" x14ac:dyDescent="0.2">
      <c r="A97" s="26" t="s">
        <v>568</v>
      </c>
      <c r="B97" s="26" t="s">
        <v>297</v>
      </c>
      <c r="C97" s="26" t="s">
        <v>266</v>
      </c>
      <c r="D97" s="27" t="s">
        <v>267</v>
      </c>
      <c r="E97" s="38"/>
      <c r="F97" s="51">
        <f>SUM(F98)</f>
        <v>0</v>
      </c>
      <c r="G97" s="51">
        <f>SUM(G98)</f>
        <v>100000</v>
      </c>
      <c r="H97" s="30">
        <f>F97+G97</f>
        <v>100000</v>
      </c>
      <c r="J97" s="53"/>
      <c r="K97" s="53"/>
    </row>
    <row r="98" spans="1:18" ht="56.25" x14ac:dyDescent="0.2">
      <c r="A98" s="90"/>
      <c r="B98" s="90"/>
      <c r="C98" s="90"/>
      <c r="D98" s="38"/>
      <c r="E98" s="38" t="s">
        <v>639</v>
      </c>
      <c r="F98" s="25"/>
      <c r="G98" s="46">
        <f>100000</f>
        <v>100000</v>
      </c>
      <c r="H98" s="33">
        <f>F98+G98</f>
        <v>100000</v>
      </c>
    </row>
    <row r="99" spans="1:18" s="18" customFormat="1" ht="36.75" customHeight="1" x14ac:dyDescent="0.2">
      <c r="A99" s="20" t="s">
        <v>357</v>
      </c>
      <c r="B99" s="47"/>
      <c r="C99" s="47"/>
      <c r="D99" s="47" t="s">
        <v>284</v>
      </c>
      <c r="E99" s="38"/>
      <c r="F99" s="13">
        <f>F104+F101</f>
        <v>139920000</v>
      </c>
      <c r="G99" s="13">
        <f>G104+G101</f>
        <v>17282134</v>
      </c>
      <c r="H99" s="13">
        <f t="shared" si="1"/>
        <v>157202134</v>
      </c>
      <c r="I99" s="3"/>
      <c r="J99" s="17"/>
      <c r="K99" s="17"/>
      <c r="L99" s="3"/>
      <c r="M99" s="3"/>
      <c r="N99" s="3"/>
      <c r="O99" s="3"/>
      <c r="P99" s="3"/>
      <c r="Q99" s="3"/>
      <c r="R99" s="3"/>
    </row>
    <row r="100" spans="1:18" s="18" customFormat="1" ht="31.5" customHeight="1" x14ac:dyDescent="0.2">
      <c r="A100" s="20" t="s">
        <v>358</v>
      </c>
      <c r="B100" s="47"/>
      <c r="C100" s="47"/>
      <c r="D100" s="48" t="s">
        <v>284</v>
      </c>
      <c r="E100" s="38"/>
      <c r="F100" s="33"/>
      <c r="G100" s="46"/>
      <c r="H100" s="13">
        <f t="shared" si="1"/>
        <v>0</v>
      </c>
      <c r="I100" s="3"/>
      <c r="J100" s="17"/>
      <c r="K100" s="17"/>
      <c r="L100" s="3"/>
      <c r="M100" s="3"/>
      <c r="N100" s="3"/>
      <c r="O100" s="3"/>
      <c r="P100" s="3"/>
      <c r="Q100" s="3"/>
      <c r="R100" s="3"/>
    </row>
    <row r="101" spans="1:18" s="52" customFormat="1" x14ac:dyDescent="0.2">
      <c r="A101" s="26" t="s">
        <v>360</v>
      </c>
      <c r="B101" s="26" t="s">
        <v>330</v>
      </c>
      <c r="C101" s="26" t="s">
        <v>281</v>
      </c>
      <c r="D101" s="26" t="s">
        <v>331</v>
      </c>
      <c r="E101" s="40"/>
      <c r="F101" s="51">
        <f>SUM(F102:F103)</f>
        <v>0</v>
      </c>
      <c r="G101" s="51">
        <f>SUM(G102:G103)</f>
        <v>486934</v>
      </c>
      <c r="H101" s="30">
        <f>F101+G101</f>
        <v>486934</v>
      </c>
      <c r="J101" s="53"/>
      <c r="K101" s="53"/>
    </row>
    <row r="102" spans="1:18" x14ac:dyDescent="0.2">
      <c r="A102" s="54"/>
      <c r="B102" s="54"/>
      <c r="C102" s="54"/>
      <c r="D102" s="54"/>
      <c r="E102" s="181" t="s">
        <v>173</v>
      </c>
      <c r="F102" s="25"/>
      <c r="G102" s="46">
        <f>329734</f>
        <v>329734</v>
      </c>
      <c r="H102" s="33">
        <f>F102+G102</f>
        <v>329734</v>
      </c>
    </row>
    <row r="103" spans="1:18" x14ac:dyDescent="0.2">
      <c r="A103" s="54"/>
      <c r="B103" s="54"/>
      <c r="C103" s="54"/>
      <c r="D103" s="54"/>
      <c r="E103" s="181" t="s">
        <v>402</v>
      </c>
      <c r="F103" s="25"/>
      <c r="G103" s="46">
        <f>157200</f>
        <v>157200</v>
      </c>
      <c r="H103" s="33">
        <f>F103+G103</f>
        <v>157200</v>
      </c>
    </row>
    <row r="104" spans="1:18" s="52" customFormat="1" x14ac:dyDescent="0.2">
      <c r="A104" s="26" t="s">
        <v>448</v>
      </c>
      <c r="B104" s="49" t="s">
        <v>450</v>
      </c>
      <c r="C104" s="49" t="s">
        <v>449</v>
      </c>
      <c r="D104" s="50" t="s">
        <v>447</v>
      </c>
      <c r="E104" s="40"/>
      <c r="F104" s="51">
        <f>SUM(F105)</f>
        <v>139920000</v>
      </c>
      <c r="G104" s="51">
        <f>SUM(G105)</f>
        <v>16795200</v>
      </c>
      <c r="H104" s="30">
        <f t="shared" si="1"/>
        <v>156715200</v>
      </c>
      <c r="J104" s="53"/>
      <c r="K104" s="53"/>
    </row>
    <row r="105" spans="1:18" x14ac:dyDescent="0.2">
      <c r="A105" s="54"/>
      <c r="B105" s="54"/>
      <c r="C105" s="54"/>
      <c r="D105" s="54"/>
      <c r="E105" s="38" t="s">
        <v>446</v>
      </c>
      <c r="F105" s="25">
        <v>139920000</v>
      </c>
      <c r="G105" s="46">
        <f>16800000-4800</f>
        <v>16795200</v>
      </c>
      <c r="H105" s="33">
        <f t="shared" si="1"/>
        <v>156715200</v>
      </c>
    </row>
    <row r="106" spans="1:18" ht="37.5" x14ac:dyDescent="0.2">
      <c r="A106" s="20" t="s">
        <v>363</v>
      </c>
      <c r="B106" s="20"/>
      <c r="C106" s="20"/>
      <c r="D106" s="20" t="s">
        <v>285</v>
      </c>
      <c r="E106" s="38"/>
      <c r="F106" s="22">
        <f>F108</f>
        <v>0</v>
      </c>
      <c r="G106" s="22">
        <f>G108</f>
        <v>670000</v>
      </c>
      <c r="H106" s="13">
        <f t="shared" si="1"/>
        <v>670000</v>
      </c>
    </row>
    <row r="107" spans="1:18" ht="37.5" x14ac:dyDescent="0.2">
      <c r="A107" s="20" t="s">
        <v>364</v>
      </c>
      <c r="B107" s="20"/>
      <c r="C107" s="20"/>
      <c r="D107" s="23" t="s">
        <v>285</v>
      </c>
      <c r="E107" s="38"/>
      <c r="F107" s="25"/>
      <c r="G107" s="25"/>
      <c r="H107" s="33"/>
    </row>
    <row r="108" spans="1:18" x14ac:dyDescent="0.2">
      <c r="A108" s="26" t="s">
        <v>366</v>
      </c>
      <c r="B108" s="26" t="s">
        <v>292</v>
      </c>
      <c r="C108" s="26" t="s">
        <v>257</v>
      </c>
      <c r="D108" s="50" t="s">
        <v>293</v>
      </c>
      <c r="E108" s="38"/>
      <c r="F108" s="51">
        <f>SUM(F109:F110)</f>
        <v>0</v>
      </c>
      <c r="G108" s="51">
        <f>SUM(G109:G110)</f>
        <v>670000</v>
      </c>
      <c r="H108" s="30">
        <f>F108+G108</f>
        <v>670000</v>
      </c>
    </row>
    <row r="109" spans="1:18" ht="37.5" x14ac:dyDescent="0.2">
      <c r="A109" s="54"/>
      <c r="B109" s="54"/>
      <c r="C109" s="54"/>
      <c r="D109" s="54"/>
      <c r="E109" s="183" t="s">
        <v>63</v>
      </c>
      <c r="F109" s="25"/>
      <c r="G109" s="46">
        <f>200000</f>
        <v>200000</v>
      </c>
      <c r="H109" s="33">
        <f>F109+G109</f>
        <v>200000</v>
      </c>
    </row>
    <row r="110" spans="1:18" x14ac:dyDescent="0.2">
      <c r="A110" s="54"/>
      <c r="B110" s="54"/>
      <c r="C110" s="54"/>
      <c r="D110" s="54"/>
      <c r="E110" s="183" t="s">
        <v>710</v>
      </c>
      <c r="F110" s="25"/>
      <c r="G110" s="46">
        <f>470000</f>
        <v>470000</v>
      </c>
      <c r="H110" s="33">
        <f>F110+G110</f>
        <v>470000</v>
      </c>
    </row>
    <row r="111" spans="1:18" s="61" customFormat="1" ht="30" customHeight="1" x14ac:dyDescent="0.2">
      <c r="A111" s="55"/>
      <c r="B111" s="56"/>
      <c r="C111" s="56"/>
      <c r="D111" s="57"/>
      <c r="E111" s="58" t="s">
        <v>300</v>
      </c>
      <c r="F111" s="59">
        <f>F53+F99+F21+F15+F106+F9+F95</f>
        <v>357950875</v>
      </c>
      <c r="G111" s="59">
        <f>G53+G99+G21+G15+G106+G9+G95</f>
        <v>0</v>
      </c>
      <c r="H111" s="60">
        <f>F111+G111</f>
        <v>357950875</v>
      </c>
      <c r="J111" s="211"/>
      <c r="K111" s="62"/>
    </row>
    <row r="112" spans="1:18" s="63" customFormat="1" ht="42.75" customHeight="1" x14ac:dyDescent="0.2">
      <c r="A112" s="235" t="s">
        <v>692</v>
      </c>
      <c r="B112" s="235"/>
      <c r="C112" s="235"/>
      <c r="D112" s="235"/>
      <c r="E112" s="235"/>
      <c r="F112" s="13"/>
      <c r="G112" s="13"/>
      <c r="H112" s="19"/>
      <c r="J112" s="64"/>
      <c r="K112" s="64"/>
    </row>
    <row r="113" spans="1:19" s="68" customFormat="1" ht="42.75" customHeight="1" x14ac:dyDescent="0.2">
      <c r="A113" s="20" t="s">
        <v>310</v>
      </c>
      <c r="B113" s="20"/>
      <c r="C113" s="20"/>
      <c r="D113" s="19" t="s">
        <v>289</v>
      </c>
      <c r="E113" s="65"/>
      <c r="F113" s="13">
        <f>F115+F118</f>
        <v>2902055</v>
      </c>
      <c r="G113" s="13">
        <f>G115+G118</f>
        <v>188493</v>
      </c>
      <c r="H113" s="13">
        <f t="shared" ref="H113:H175" si="2">F113+G113</f>
        <v>3090548</v>
      </c>
      <c r="I113" s="66"/>
      <c r="J113" s="67"/>
      <c r="K113" s="67"/>
      <c r="L113" s="66"/>
      <c r="M113" s="66"/>
      <c r="N113" s="66"/>
      <c r="O113" s="66"/>
      <c r="P113" s="66"/>
      <c r="Q113" s="66"/>
      <c r="R113" s="66"/>
    </row>
    <row r="114" spans="1:19" s="72" customFormat="1" ht="42.75" customHeight="1" x14ac:dyDescent="0.2">
      <c r="A114" s="20" t="s">
        <v>311</v>
      </c>
      <c r="B114" s="20"/>
      <c r="C114" s="20"/>
      <c r="D114" s="36" t="s">
        <v>289</v>
      </c>
      <c r="E114" s="40"/>
      <c r="F114" s="13"/>
      <c r="G114" s="69"/>
      <c r="H114" s="13">
        <f t="shared" si="2"/>
        <v>0</v>
      </c>
      <c r="I114" s="70"/>
      <c r="J114" s="71"/>
      <c r="K114" s="71"/>
      <c r="L114" s="70"/>
      <c r="M114" s="70"/>
      <c r="N114" s="70"/>
      <c r="O114" s="70"/>
      <c r="P114" s="70"/>
      <c r="Q114" s="70"/>
      <c r="R114" s="70"/>
    </row>
    <row r="115" spans="1:19" s="72" customFormat="1" ht="28.5" customHeight="1" x14ac:dyDescent="0.2">
      <c r="A115" s="26" t="s">
        <v>473</v>
      </c>
      <c r="B115" s="26" t="s">
        <v>269</v>
      </c>
      <c r="C115" s="26" t="s">
        <v>270</v>
      </c>
      <c r="D115" s="73" t="s">
        <v>312</v>
      </c>
      <c r="E115" s="74"/>
      <c r="F115" s="30">
        <f>SUM(F116:F117)</f>
        <v>195090</v>
      </c>
      <c r="G115" s="30">
        <f>SUM(G116:G117)</f>
        <v>48000</v>
      </c>
      <c r="H115" s="30">
        <f t="shared" si="2"/>
        <v>243090</v>
      </c>
      <c r="I115" s="70"/>
      <c r="J115" s="71"/>
      <c r="K115" s="71"/>
      <c r="L115" s="70"/>
      <c r="M115" s="70"/>
      <c r="N115" s="70"/>
      <c r="O115" s="70"/>
      <c r="P115" s="70"/>
      <c r="Q115" s="70"/>
      <c r="R115" s="70"/>
    </row>
    <row r="116" spans="1:19" s="18" customFormat="1" ht="56.25" x14ac:dyDescent="0.2">
      <c r="A116" s="26"/>
      <c r="B116" s="26"/>
      <c r="C116" s="26"/>
      <c r="D116" s="39"/>
      <c r="E116" s="73" t="s">
        <v>693</v>
      </c>
      <c r="F116" s="33">
        <v>195090</v>
      </c>
      <c r="G116" s="33">
        <f>30000</f>
        <v>30000</v>
      </c>
      <c r="H116" s="33">
        <f t="shared" si="2"/>
        <v>225090</v>
      </c>
      <c r="I116" s="3"/>
      <c r="J116" s="42"/>
      <c r="K116" s="42"/>
    </row>
    <row r="117" spans="1:19" s="18" customFormat="1" ht="37.5" x14ac:dyDescent="0.2">
      <c r="A117" s="26"/>
      <c r="B117" s="26"/>
      <c r="C117" s="26"/>
      <c r="D117" s="39"/>
      <c r="E117" s="206" t="s">
        <v>143</v>
      </c>
      <c r="F117" s="33"/>
      <c r="G117" s="33">
        <f>18000</f>
        <v>18000</v>
      </c>
      <c r="H117" s="33">
        <f t="shared" si="2"/>
        <v>18000</v>
      </c>
      <c r="I117" s="3"/>
      <c r="J117" s="42"/>
      <c r="K117" s="42"/>
    </row>
    <row r="118" spans="1:19" s="72" customFormat="1" ht="99.75" customHeight="1" x14ac:dyDescent="0.2">
      <c r="A118" s="26" t="s">
        <v>313</v>
      </c>
      <c r="B118" s="26" t="s">
        <v>271</v>
      </c>
      <c r="C118" s="26" t="s">
        <v>272</v>
      </c>
      <c r="D118" s="39" t="s">
        <v>314</v>
      </c>
      <c r="E118" s="74"/>
      <c r="F118" s="30">
        <f>SUM(F119:F126)</f>
        <v>2706965</v>
      </c>
      <c r="G118" s="30">
        <f>SUM(G119:G126)</f>
        <v>140493</v>
      </c>
      <c r="H118" s="30">
        <f t="shared" si="2"/>
        <v>2847458</v>
      </c>
      <c r="I118" s="70"/>
      <c r="J118" s="71"/>
      <c r="K118" s="71"/>
      <c r="L118" s="70"/>
      <c r="M118" s="70"/>
      <c r="N118" s="70"/>
      <c r="O118" s="70"/>
      <c r="P118" s="70"/>
      <c r="Q118" s="70"/>
      <c r="R118" s="70"/>
    </row>
    <row r="119" spans="1:19" s="68" customFormat="1" ht="37.5" customHeight="1" x14ac:dyDescent="0.2">
      <c r="A119" s="76"/>
      <c r="B119" s="76"/>
      <c r="C119" s="76"/>
      <c r="D119" s="77"/>
      <c r="E119" s="75" t="s">
        <v>713</v>
      </c>
      <c r="F119" s="46">
        <v>1200000</v>
      </c>
      <c r="G119" s="46"/>
      <c r="H119" s="33">
        <f t="shared" si="2"/>
        <v>1200000</v>
      </c>
      <c r="I119" s="66"/>
      <c r="J119" s="67"/>
      <c r="K119" s="67"/>
      <c r="L119" s="66"/>
      <c r="M119" s="66"/>
      <c r="N119" s="66"/>
      <c r="O119" s="66"/>
      <c r="P119" s="66"/>
      <c r="Q119" s="66"/>
      <c r="R119" s="66"/>
    </row>
    <row r="120" spans="1:19" s="68" customFormat="1" ht="37.5" customHeight="1" x14ac:dyDescent="0.2">
      <c r="A120" s="76"/>
      <c r="B120" s="76"/>
      <c r="C120" s="76"/>
      <c r="D120" s="77"/>
      <c r="E120" s="178" t="s">
        <v>93</v>
      </c>
      <c r="F120" s="46">
        <v>41200</v>
      </c>
      <c r="G120" s="46"/>
      <c r="H120" s="33">
        <f t="shared" si="2"/>
        <v>41200</v>
      </c>
      <c r="I120" s="66"/>
      <c r="J120" s="67"/>
      <c r="K120" s="67"/>
      <c r="L120" s="66"/>
      <c r="M120" s="66"/>
      <c r="N120" s="66"/>
      <c r="O120" s="66"/>
      <c r="P120" s="66"/>
      <c r="Q120" s="66"/>
      <c r="R120" s="66"/>
    </row>
    <row r="121" spans="1:19" s="68" customFormat="1" ht="37.5" customHeight="1" x14ac:dyDescent="0.2">
      <c r="A121" s="76"/>
      <c r="B121" s="76"/>
      <c r="C121" s="76"/>
      <c r="D121" s="77"/>
      <c r="E121" s="78" t="s">
        <v>694</v>
      </c>
      <c r="F121" s="46">
        <v>150000</v>
      </c>
      <c r="G121" s="46"/>
      <c r="H121" s="33">
        <f t="shared" si="2"/>
        <v>150000</v>
      </c>
      <c r="I121" s="66"/>
      <c r="J121" s="67"/>
      <c r="K121" s="67"/>
      <c r="L121" s="66"/>
      <c r="M121" s="66"/>
      <c r="N121" s="66"/>
      <c r="O121" s="66"/>
      <c r="P121" s="66"/>
      <c r="Q121" s="66"/>
      <c r="R121" s="66"/>
    </row>
    <row r="122" spans="1:19" s="68" customFormat="1" ht="37.5" customHeight="1" x14ac:dyDescent="0.2">
      <c r="A122" s="76"/>
      <c r="B122" s="76"/>
      <c r="C122" s="76"/>
      <c r="D122" s="77"/>
      <c r="E122" s="178" t="s">
        <v>94</v>
      </c>
      <c r="F122" s="46">
        <v>199587</v>
      </c>
      <c r="G122" s="46"/>
      <c r="H122" s="33">
        <f t="shared" si="2"/>
        <v>199587</v>
      </c>
      <c r="I122" s="66"/>
      <c r="J122" s="67"/>
      <c r="K122" s="67"/>
      <c r="L122" s="66"/>
      <c r="M122" s="66"/>
      <c r="N122" s="66"/>
      <c r="O122" s="66"/>
      <c r="P122" s="66"/>
      <c r="Q122" s="66"/>
      <c r="R122" s="66"/>
    </row>
    <row r="123" spans="1:19" s="68" customFormat="1" ht="37.5" customHeight="1" x14ac:dyDescent="0.2">
      <c r="A123" s="76"/>
      <c r="B123" s="76"/>
      <c r="C123" s="76"/>
      <c r="D123" s="77"/>
      <c r="E123" s="178" t="s">
        <v>182</v>
      </c>
      <c r="F123" s="46"/>
      <c r="G123" s="46">
        <f>70493</f>
        <v>70493</v>
      </c>
      <c r="H123" s="33">
        <f t="shared" si="2"/>
        <v>70493</v>
      </c>
      <c r="I123" s="66"/>
      <c r="J123" s="67"/>
      <c r="K123" s="67"/>
      <c r="L123" s="66"/>
      <c r="M123" s="66"/>
      <c r="N123" s="66"/>
      <c r="O123" s="66"/>
      <c r="P123" s="66"/>
      <c r="Q123" s="66"/>
      <c r="R123" s="66"/>
    </row>
    <row r="124" spans="1:19" s="68" customFormat="1" ht="84.75" customHeight="1" x14ac:dyDescent="0.2">
      <c r="A124" s="76"/>
      <c r="B124" s="76"/>
      <c r="C124" s="76"/>
      <c r="D124" s="77"/>
      <c r="E124" s="178" t="s">
        <v>185</v>
      </c>
      <c r="F124" s="46"/>
      <c r="G124" s="46">
        <f>70000</f>
        <v>70000</v>
      </c>
      <c r="H124" s="33">
        <f t="shared" si="2"/>
        <v>70000</v>
      </c>
      <c r="I124" s="66"/>
      <c r="J124" s="67"/>
      <c r="K124" s="67"/>
      <c r="L124" s="66"/>
      <c r="M124" s="66"/>
      <c r="N124" s="66"/>
      <c r="O124" s="66"/>
      <c r="P124" s="66"/>
      <c r="Q124" s="66"/>
      <c r="R124" s="66"/>
    </row>
    <row r="125" spans="1:19" s="68" customFormat="1" ht="77.25" customHeight="1" x14ac:dyDescent="0.2">
      <c r="A125" s="76"/>
      <c r="B125" s="76"/>
      <c r="C125" s="76"/>
      <c r="D125" s="77"/>
      <c r="E125" s="178" t="s">
        <v>88</v>
      </c>
      <c r="F125" s="46">
        <v>631178</v>
      </c>
      <c r="G125" s="46"/>
      <c r="H125" s="33">
        <f t="shared" si="2"/>
        <v>631178</v>
      </c>
      <c r="I125" s="66"/>
      <c r="J125" s="67"/>
      <c r="K125" s="67"/>
      <c r="L125" s="66"/>
      <c r="M125" s="66"/>
      <c r="N125" s="66"/>
      <c r="O125" s="66"/>
      <c r="P125" s="66"/>
      <c r="Q125" s="66"/>
      <c r="R125" s="66"/>
    </row>
    <row r="126" spans="1:19" s="68" customFormat="1" ht="79.5" customHeight="1" x14ac:dyDescent="0.2">
      <c r="A126" s="76"/>
      <c r="B126" s="76"/>
      <c r="C126" s="76"/>
      <c r="D126" s="77"/>
      <c r="E126" s="78" t="s">
        <v>714</v>
      </c>
      <c r="F126" s="46">
        <v>485000</v>
      </c>
      <c r="G126" s="46"/>
      <c r="H126" s="33">
        <f t="shared" si="2"/>
        <v>485000</v>
      </c>
      <c r="I126" s="66"/>
      <c r="J126" s="67"/>
      <c r="K126" s="67"/>
      <c r="L126" s="66"/>
      <c r="M126" s="66"/>
      <c r="N126" s="66"/>
      <c r="O126" s="66"/>
      <c r="P126" s="66"/>
      <c r="Q126" s="66"/>
      <c r="R126" s="66"/>
    </row>
    <row r="127" spans="1:19" s="68" customFormat="1" ht="24.75" hidden="1" customHeight="1" x14ac:dyDescent="0.2">
      <c r="A127" s="47" t="s">
        <v>315</v>
      </c>
      <c r="B127" s="47"/>
      <c r="C127" s="47"/>
      <c r="D127" s="47" t="s">
        <v>256</v>
      </c>
      <c r="E127" s="79"/>
      <c r="F127" s="80">
        <f>F129</f>
        <v>0</v>
      </c>
      <c r="G127" s="80">
        <f>G129</f>
        <v>0</v>
      </c>
      <c r="H127" s="13">
        <f t="shared" si="2"/>
        <v>0</v>
      </c>
      <c r="I127" s="66"/>
      <c r="J127" s="67"/>
      <c r="K127" s="67"/>
      <c r="L127" s="66"/>
      <c r="M127" s="66"/>
      <c r="N127" s="66"/>
      <c r="O127" s="66"/>
      <c r="P127" s="66"/>
      <c r="Q127" s="66"/>
      <c r="R127" s="66"/>
      <c r="S127" s="66"/>
    </row>
    <row r="128" spans="1:19" s="16" customFormat="1" ht="24.75" hidden="1" customHeight="1" x14ac:dyDescent="0.2">
      <c r="A128" s="47" t="s">
        <v>316</v>
      </c>
      <c r="B128" s="47"/>
      <c r="C128" s="47"/>
      <c r="D128" s="48" t="s">
        <v>256</v>
      </c>
      <c r="E128" s="79"/>
      <c r="F128" s="22"/>
      <c r="G128" s="22"/>
      <c r="H128" s="13">
        <f t="shared" si="2"/>
        <v>0</v>
      </c>
      <c r="I128" s="14"/>
      <c r="J128" s="15"/>
      <c r="K128" s="15"/>
      <c r="L128" s="14"/>
      <c r="M128" s="14"/>
      <c r="N128" s="14"/>
      <c r="O128" s="14"/>
      <c r="P128" s="14"/>
      <c r="Q128" s="14"/>
      <c r="R128" s="14"/>
      <c r="S128" s="14"/>
    </row>
    <row r="129" spans="1:19" s="84" customFormat="1" ht="37.5" hidden="1" x14ac:dyDescent="0.2">
      <c r="A129" s="49" t="s">
        <v>695</v>
      </c>
      <c r="B129" s="49" t="s">
        <v>696</v>
      </c>
      <c r="C129" s="49" t="s">
        <v>264</v>
      </c>
      <c r="D129" s="50" t="s">
        <v>697</v>
      </c>
      <c r="E129" s="81"/>
      <c r="F129" s="29">
        <f>SUM(F130:F132)</f>
        <v>0</v>
      </c>
      <c r="G129" s="29">
        <f>SUM(G130:G132)</f>
        <v>0</v>
      </c>
      <c r="H129" s="30">
        <f t="shared" si="2"/>
        <v>0</v>
      </c>
      <c r="I129" s="82"/>
      <c r="J129" s="83"/>
      <c r="K129" s="83"/>
      <c r="L129" s="82"/>
      <c r="M129" s="82"/>
      <c r="N129" s="82"/>
      <c r="O129" s="82"/>
      <c r="P129" s="82"/>
      <c r="Q129" s="82"/>
      <c r="R129" s="82"/>
      <c r="S129" s="82"/>
    </row>
    <row r="130" spans="1:19" s="5" customFormat="1" ht="39.75" hidden="1" customHeight="1" x14ac:dyDescent="0.2">
      <c r="A130" s="85"/>
      <c r="B130" s="85"/>
      <c r="C130" s="85"/>
      <c r="D130" s="31"/>
      <c r="E130" s="75"/>
      <c r="F130" s="25"/>
      <c r="G130" s="25"/>
      <c r="H130" s="33">
        <f t="shared" si="2"/>
        <v>0</v>
      </c>
      <c r="J130" s="6"/>
      <c r="K130" s="6"/>
    </row>
    <row r="131" spans="1:19" s="5" customFormat="1" ht="39.75" hidden="1" customHeight="1" x14ac:dyDescent="0.2">
      <c r="A131" s="85"/>
      <c r="B131" s="85"/>
      <c r="C131" s="85"/>
      <c r="D131" s="31"/>
      <c r="E131" s="75"/>
      <c r="F131" s="25"/>
      <c r="G131" s="25"/>
      <c r="H131" s="33">
        <f t="shared" si="2"/>
        <v>0</v>
      </c>
      <c r="J131" s="6"/>
      <c r="K131" s="6"/>
    </row>
    <row r="132" spans="1:19" s="5" customFormat="1" ht="35.25" hidden="1" customHeight="1" x14ac:dyDescent="0.2">
      <c r="A132" s="85"/>
      <c r="B132" s="85"/>
      <c r="C132" s="85"/>
      <c r="D132" s="31"/>
      <c r="E132" s="75"/>
      <c r="F132" s="25"/>
      <c r="G132" s="25"/>
      <c r="H132" s="33">
        <f t="shared" si="2"/>
        <v>0</v>
      </c>
      <c r="J132" s="6"/>
      <c r="K132" s="6"/>
    </row>
    <row r="133" spans="1:19" s="5" customFormat="1" ht="35.25" customHeight="1" x14ac:dyDescent="0.2">
      <c r="A133" s="20" t="s">
        <v>322</v>
      </c>
      <c r="B133" s="20"/>
      <c r="C133" s="20"/>
      <c r="D133" s="20" t="s">
        <v>277</v>
      </c>
      <c r="E133" s="75"/>
      <c r="F133" s="22">
        <f>F135</f>
        <v>250000</v>
      </c>
      <c r="G133" s="22">
        <f>G135</f>
        <v>0</v>
      </c>
      <c r="H133" s="13">
        <f t="shared" si="2"/>
        <v>250000</v>
      </c>
      <c r="J133" s="6"/>
      <c r="K133" s="6"/>
    </row>
    <row r="134" spans="1:19" s="5" customFormat="1" ht="35.25" customHeight="1" x14ac:dyDescent="0.2">
      <c r="A134" s="20" t="s">
        <v>323</v>
      </c>
      <c r="B134" s="20"/>
      <c r="C134" s="20"/>
      <c r="D134" s="23" t="s">
        <v>277</v>
      </c>
      <c r="E134" s="75"/>
      <c r="F134" s="25"/>
      <c r="G134" s="25"/>
      <c r="H134" s="33"/>
      <c r="J134" s="6"/>
      <c r="K134" s="6"/>
    </row>
    <row r="135" spans="1:19" s="5" customFormat="1" ht="99" customHeight="1" x14ac:dyDescent="0.2">
      <c r="A135" s="105" t="s">
        <v>54</v>
      </c>
      <c r="B135" s="124" t="s">
        <v>55</v>
      </c>
      <c r="C135" s="124" t="s">
        <v>431</v>
      </c>
      <c r="D135" s="49" t="s">
        <v>56</v>
      </c>
      <c r="E135" s="75"/>
      <c r="F135" s="25">
        <f>SUM(F136)</f>
        <v>250000</v>
      </c>
      <c r="G135" s="25">
        <f>SUM(G136)</f>
        <v>0</v>
      </c>
      <c r="H135" s="30">
        <f t="shared" si="2"/>
        <v>250000</v>
      </c>
      <c r="J135" s="6"/>
      <c r="K135" s="6"/>
    </row>
    <row r="136" spans="1:19" s="5" customFormat="1" ht="63" customHeight="1" x14ac:dyDescent="0.2">
      <c r="A136" s="24"/>
      <c r="B136" s="119"/>
      <c r="C136" s="119"/>
      <c r="D136" s="121"/>
      <c r="E136" s="178" t="s">
        <v>95</v>
      </c>
      <c r="F136" s="25">
        <f>250000</f>
        <v>250000</v>
      </c>
      <c r="G136" s="25"/>
      <c r="H136" s="33">
        <f t="shared" si="2"/>
        <v>250000</v>
      </c>
      <c r="J136" s="6"/>
      <c r="K136" s="6"/>
    </row>
    <row r="137" spans="1:19" s="52" customFormat="1" ht="37.5" x14ac:dyDescent="0.2">
      <c r="A137" s="19">
        <v>1000000</v>
      </c>
      <c r="B137" s="20"/>
      <c r="C137" s="20"/>
      <c r="D137" s="20" t="s">
        <v>278</v>
      </c>
      <c r="E137" s="74"/>
      <c r="F137" s="13">
        <f>F139</f>
        <v>65000</v>
      </c>
      <c r="G137" s="13">
        <f>G139</f>
        <v>20000</v>
      </c>
      <c r="H137" s="13">
        <f t="shared" si="2"/>
        <v>85000</v>
      </c>
      <c r="I137" s="63"/>
      <c r="J137" s="64"/>
      <c r="K137" s="64"/>
      <c r="L137" s="63"/>
      <c r="M137" s="63"/>
      <c r="N137" s="63"/>
      <c r="O137" s="63"/>
      <c r="P137" s="63"/>
      <c r="Q137" s="63"/>
      <c r="R137" s="63"/>
      <c r="S137" s="63"/>
    </row>
    <row r="138" spans="1:19" s="52" customFormat="1" ht="38.25" customHeight="1" x14ac:dyDescent="0.2">
      <c r="A138" s="19">
        <v>1010000</v>
      </c>
      <c r="B138" s="20"/>
      <c r="C138" s="20"/>
      <c r="D138" s="23" t="s">
        <v>278</v>
      </c>
      <c r="E138" s="74"/>
      <c r="F138" s="13"/>
      <c r="G138" s="13"/>
      <c r="H138" s="13">
        <f t="shared" si="2"/>
        <v>0</v>
      </c>
      <c r="I138" s="63"/>
      <c r="J138" s="64"/>
      <c r="K138" s="64"/>
      <c r="L138" s="63"/>
      <c r="M138" s="63"/>
      <c r="N138" s="63"/>
      <c r="O138" s="63"/>
      <c r="P138" s="63"/>
      <c r="Q138" s="63"/>
      <c r="R138" s="63"/>
      <c r="S138" s="63"/>
    </row>
    <row r="139" spans="1:19" s="88" customFormat="1" ht="42.75" customHeight="1" x14ac:dyDescent="0.2">
      <c r="A139" s="39">
        <v>1014030</v>
      </c>
      <c r="B139" s="26" t="s">
        <v>698</v>
      </c>
      <c r="C139" s="26" t="s">
        <v>699</v>
      </c>
      <c r="D139" s="26" t="s">
        <v>700</v>
      </c>
      <c r="E139" s="74"/>
      <c r="F139" s="30">
        <f>SUM(F140:F143)</f>
        <v>65000</v>
      </c>
      <c r="G139" s="30">
        <f>SUM(G140:G143)</f>
        <v>20000</v>
      </c>
      <c r="H139" s="30">
        <f t="shared" si="2"/>
        <v>85000</v>
      </c>
      <c r="I139" s="86"/>
      <c r="J139" s="87"/>
      <c r="K139" s="87"/>
      <c r="L139" s="86"/>
      <c r="M139" s="86"/>
      <c r="N139" s="86"/>
      <c r="O139" s="86"/>
      <c r="P139" s="86"/>
      <c r="Q139" s="86"/>
      <c r="R139" s="86"/>
      <c r="S139" s="86"/>
    </row>
    <row r="140" spans="1:19" s="18" customFormat="1" ht="38.25" customHeight="1" x14ac:dyDescent="0.2">
      <c r="A140" s="89"/>
      <c r="B140" s="90"/>
      <c r="C140" s="90"/>
      <c r="D140" s="89"/>
      <c r="E140" s="75" t="s">
        <v>702</v>
      </c>
      <c r="F140" s="33">
        <f>30000</f>
        <v>30000</v>
      </c>
      <c r="G140" s="33"/>
      <c r="H140" s="33">
        <f t="shared" si="2"/>
        <v>30000</v>
      </c>
      <c r="I140" s="3"/>
      <c r="J140" s="17"/>
      <c r="K140" s="17"/>
      <c r="L140" s="3"/>
      <c r="M140" s="3"/>
      <c r="N140" s="3"/>
      <c r="O140" s="3"/>
      <c r="P140" s="3"/>
      <c r="Q140" s="3"/>
      <c r="R140" s="3"/>
      <c r="S140" s="3"/>
    </row>
    <row r="141" spans="1:19" s="18" customFormat="1" ht="38.25" customHeight="1" x14ac:dyDescent="0.2">
      <c r="A141" s="89"/>
      <c r="B141" s="90"/>
      <c r="C141" s="90"/>
      <c r="D141" s="89"/>
      <c r="E141" s="75" t="s">
        <v>82</v>
      </c>
      <c r="F141" s="33">
        <v>15000</v>
      </c>
      <c r="G141" s="33"/>
      <c r="H141" s="33">
        <f t="shared" si="2"/>
        <v>15000</v>
      </c>
      <c r="I141" s="3"/>
      <c r="J141" s="17"/>
      <c r="K141" s="17"/>
      <c r="L141" s="3"/>
      <c r="M141" s="3"/>
      <c r="N141" s="3"/>
      <c r="O141" s="3"/>
      <c r="P141" s="3"/>
      <c r="Q141" s="3"/>
      <c r="R141" s="3"/>
      <c r="S141" s="3"/>
    </row>
    <row r="142" spans="1:19" s="18" customFormat="1" ht="38.25" customHeight="1" x14ac:dyDescent="0.2">
      <c r="A142" s="89"/>
      <c r="B142" s="90"/>
      <c r="C142" s="90"/>
      <c r="D142" s="89"/>
      <c r="E142" s="221" t="s">
        <v>189</v>
      </c>
      <c r="F142" s="33"/>
      <c r="G142" s="33">
        <f>20000</f>
        <v>20000</v>
      </c>
      <c r="H142" s="33">
        <f t="shared" si="2"/>
        <v>20000</v>
      </c>
      <c r="I142" s="3"/>
      <c r="J142" s="17"/>
      <c r="K142" s="17"/>
      <c r="L142" s="3"/>
      <c r="M142" s="3"/>
      <c r="N142" s="3"/>
      <c r="O142" s="3"/>
      <c r="P142" s="3"/>
      <c r="Q142" s="3"/>
      <c r="R142" s="3"/>
      <c r="S142" s="3"/>
    </row>
    <row r="143" spans="1:19" s="18" customFormat="1" ht="38.25" customHeight="1" x14ac:dyDescent="0.2">
      <c r="A143" s="89"/>
      <c r="B143" s="90"/>
      <c r="C143" s="90"/>
      <c r="D143" s="89"/>
      <c r="E143" s="75" t="s">
        <v>701</v>
      </c>
      <c r="F143" s="33">
        <f>20000</f>
        <v>20000</v>
      </c>
      <c r="G143" s="33"/>
      <c r="H143" s="33">
        <f t="shared" si="2"/>
        <v>20000</v>
      </c>
      <c r="I143" s="3"/>
      <c r="J143" s="17"/>
      <c r="K143" s="17"/>
      <c r="L143" s="3"/>
      <c r="M143" s="3"/>
      <c r="N143" s="3"/>
      <c r="O143" s="3"/>
      <c r="P143" s="3"/>
      <c r="Q143" s="3"/>
      <c r="R143" s="3"/>
      <c r="S143" s="3"/>
    </row>
    <row r="144" spans="1:19" s="52" customFormat="1" ht="46.5" hidden="1" customHeight="1" x14ac:dyDescent="0.2">
      <c r="A144" s="19">
        <v>1200000</v>
      </c>
      <c r="B144" s="20"/>
      <c r="C144" s="20"/>
      <c r="D144" s="20" t="s">
        <v>280</v>
      </c>
      <c r="E144" s="74"/>
      <c r="F144" s="13">
        <f>F146</f>
        <v>0</v>
      </c>
      <c r="G144" s="13">
        <f>G146</f>
        <v>0</v>
      </c>
      <c r="H144" s="13">
        <f t="shared" si="2"/>
        <v>0</v>
      </c>
      <c r="I144" s="63"/>
      <c r="J144" s="64"/>
      <c r="K144" s="64"/>
      <c r="L144" s="63"/>
      <c r="M144" s="63"/>
      <c r="N144" s="63"/>
      <c r="O144" s="63"/>
      <c r="P144" s="63"/>
      <c r="Q144" s="63"/>
      <c r="R144" s="63"/>
      <c r="S144" s="63"/>
    </row>
    <row r="145" spans="1:19" s="52" customFormat="1" ht="46.5" hidden="1" customHeight="1" x14ac:dyDescent="0.2">
      <c r="A145" s="19">
        <v>1210000</v>
      </c>
      <c r="B145" s="20"/>
      <c r="C145" s="20"/>
      <c r="D145" s="23" t="s">
        <v>280</v>
      </c>
      <c r="E145" s="74"/>
      <c r="F145" s="13"/>
      <c r="G145" s="13"/>
      <c r="H145" s="13">
        <f t="shared" si="2"/>
        <v>0</v>
      </c>
      <c r="I145" s="63"/>
      <c r="J145" s="64"/>
      <c r="K145" s="64"/>
      <c r="L145" s="63"/>
      <c r="M145" s="63"/>
      <c r="N145" s="63"/>
      <c r="O145" s="63"/>
      <c r="P145" s="63"/>
      <c r="Q145" s="63"/>
      <c r="R145" s="63"/>
      <c r="S145" s="63"/>
    </row>
    <row r="146" spans="1:19" s="91" customFormat="1" ht="19.5" hidden="1" x14ac:dyDescent="0.2">
      <c r="A146" s="26" t="s">
        <v>329</v>
      </c>
      <c r="B146" s="26" t="s">
        <v>330</v>
      </c>
      <c r="C146" s="26" t="s">
        <v>281</v>
      </c>
      <c r="D146" s="26" t="s">
        <v>331</v>
      </c>
      <c r="E146" s="74"/>
      <c r="F146" s="30">
        <f>SUM(F147:F148)</f>
        <v>0</v>
      </c>
      <c r="G146" s="30">
        <f>SUM(G147:G148)</f>
        <v>0</v>
      </c>
      <c r="H146" s="30">
        <f t="shared" si="2"/>
        <v>0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</row>
    <row r="147" spans="1:19" s="92" customFormat="1" ht="45" hidden="1" customHeight="1" x14ac:dyDescent="0.2">
      <c r="A147" s="90"/>
      <c r="B147" s="90"/>
      <c r="C147" s="90"/>
      <c r="D147" s="89"/>
      <c r="E147" s="75"/>
      <c r="F147" s="33"/>
      <c r="G147" s="33"/>
      <c r="H147" s="33">
        <f t="shared" si="2"/>
        <v>0</v>
      </c>
      <c r="I147" s="200"/>
      <c r="J147" s="17"/>
      <c r="K147" s="17"/>
      <c r="L147" s="200"/>
      <c r="M147" s="200"/>
      <c r="N147" s="200"/>
      <c r="O147" s="200"/>
      <c r="P147" s="200"/>
      <c r="Q147" s="200"/>
      <c r="R147" s="200"/>
      <c r="S147" s="200"/>
    </row>
    <row r="148" spans="1:19" s="92" customFormat="1" ht="62.25" hidden="1" customHeight="1" x14ac:dyDescent="0.2">
      <c r="A148" s="90"/>
      <c r="B148" s="90"/>
      <c r="C148" s="90"/>
      <c r="D148" s="89"/>
      <c r="E148" s="75"/>
      <c r="F148" s="33"/>
      <c r="G148" s="33"/>
      <c r="H148" s="33">
        <f t="shared" si="2"/>
        <v>0</v>
      </c>
      <c r="I148" s="200"/>
      <c r="J148" s="17"/>
      <c r="K148" s="17"/>
      <c r="L148" s="200"/>
      <c r="M148" s="200"/>
      <c r="N148" s="200"/>
      <c r="O148" s="200"/>
      <c r="P148" s="200"/>
      <c r="Q148" s="200"/>
      <c r="R148" s="200"/>
      <c r="S148" s="200"/>
    </row>
    <row r="149" spans="1:19" s="52" customFormat="1" ht="48" customHeight="1" x14ac:dyDescent="0.2">
      <c r="A149" s="19">
        <v>1500000</v>
      </c>
      <c r="B149" s="20"/>
      <c r="C149" s="20"/>
      <c r="D149" s="19" t="s">
        <v>282</v>
      </c>
      <c r="E149" s="40"/>
      <c r="F149" s="13">
        <f>F151+F155+F164+F162+F160</f>
        <v>7997826</v>
      </c>
      <c r="G149" s="13">
        <f>G151+G155+G164+G162+G160</f>
        <v>290000</v>
      </c>
      <c r="H149" s="13">
        <f t="shared" si="2"/>
        <v>8287826</v>
      </c>
      <c r="I149" s="63"/>
      <c r="J149" s="53"/>
      <c r="K149" s="53"/>
    </row>
    <row r="150" spans="1:19" s="52" customFormat="1" ht="48" customHeight="1" x14ac:dyDescent="0.2">
      <c r="A150" s="19">
        <v>1510000</v>
      </c>
      <c r="B150" s="20"/>
      <c r="C150" s="20"/>
      <c r="D150" s="36" t="s">
        <v>282</v>
      </c>
      <c r="E150" s="40"/>
      <c r="F150" s="13"/>
      <c r="G150" s="13"/>
      <c r="H150" s="13"/>
      <c r="I150" s="63"/>
      <c r="J150" s="53"/>
      <c r="K150" s="53"/>
    </row>
    <row r="151" spans="1:19" s="93" customFormat="1" ht="42.75" customHeight="1" x14ac:dyDescent="0.2">
      <c r="A151" s="26" t="s">
        <v>306</v>
      </c>
      <c r="B151" s="26" t="s">
        <v>307</v>
      </c>
      <c r="C151" s="26" t="s">
        <v>308</v>
      </c>
      <c r="D151" s="39" t="s">
        <v>309</v>
      </c>
      <c r="E151" s="74"/>
      <c r="F151" s="30">
        <f>SUM(F152:F154)</f>
        <v>1104221</v>
      </c>
      <c r="G151" s="30">
        <f>SUM(G152:G154)</f>
        <v>943333</v>
      </c>
      <c r="H151" s="30">
        <f t="shared" si="2"/>
        <v>2047554</v>
      </c>
      <c r="J151" s="94"/>
      <c r="K151" s="94"/>
    </row>
    <row r="152" spans="1:19" s="3" customFormat="1" ht="47.25" customHeight="1" x14ac:dyDescent="0.2">
      <c r="A152" s="26"/>
      <c r="B152" s="26"/>
      <c r="C152" s="26"/>
      <c r="D152" s="39"/>
      <c r="E152" s="95" t="s">
        <v>703</v>
      </c>
      <c r="F152" s="33">
        <v>1004221</v>
      </c>
      <c r="G152" s="33"/>
      <c r="H152" s="33">
        <f t="shared" si="2"/>
        <v>1004221</v>
      </c>
      <c r="J152" s="17"/>
      <c r="K152" s="17"/>
    </row>
    <row r="153" spans="1:19" s="3" customFormat="1" ht="63.75" customHeight="1" x14ac:dyDescent="0.2">
      <c r="A153" s="26"/>
      <c r="B153" s="26"/>
      <c r="C153" s="26"/>
      <c r="D153" s="39"/>
      <c r="E153" s="95" t="s">
        <v>246</v>
      </c>
      <c r="F153" s="33"/>
      <c r="G153" s="33">
        <f>943333</f>
        <v>943333</v>
      </c>
      <c r="H153" s="33">
        <f t="shared" si="2"/>
        <v>943333</v>
      </c>
      <c r="J153" s="17"/>
      <c r="K153" s="17"/>
    </row>
    <row r="154" spans="1:19" s="3" customFormat="1" ht="60.75" customHeight="1" x14ac:dyDescent="0.2">
      <c r="A154" s="26"/>
      <c r="B154" s="26"/>
      <c r="C154" s="26"/>
      <c r="D154" s="39"/>
      <c r="E154" s="96" t="s">
        <v>715</v>
      </c>
      <c r="F154" s="33">
        <v>100000</v>
      </c>
      <c r="G154" s="33"/>
      <c r="H154" s="33">
        <f t="shared" si="2"/>
        <v>100000</v>
      </c>
      <c r="J154" s="17"/>
      <c r="K154" s="17"/>
    </row>
    <row r="155" spans="1:19" s="88" customFormat="1" ht="19.5" x14ac:dyDescent="0.2">
      <c r="A155" s="26" t="s">
        <v>341</v>
      </c>
      <c r="B155" s="26" t="s">
        <v>335</v>
      </c>
      <c r="C155" s="26" t="s">
        <v>308</v>
      </c>
      <c r="D155" s="39" t="s">
        <v>336</v>
      </c>
      <c r="E155" s="74"/>
      <c r="F155" s="51">
        <f>SUM(F156:F159)</f>
        <v>3801973</v>
      </c>
      <c r="G155" s="51">
        <f>SUM(G156:G159)</f>
        <v>-943333</v>
      </c>
      <c r="H155" s="30">
        <f t="shared" si="2"/>
        <v>2858640</v>
      </c>
      <c r="I155" s="86"/>
      <c r="J155" s="91"/>
      <c r="K155" s="91"/>
    </row>
    <row r="156" spans="1:19" s="3" customFormat="1" ht="47.25" customHeight="1" x14ac:dyDescent="0.2">
      <c r="A156" s="26"/>
      <c r="B156" s="26"/>
      <c r="C156" s="26"/>
      <c r="D156" s="39"/>
      <c r="E156" s="97" t="s">
        <v>704</v>
      </c>
      <c r="F156" s="33">
        <v>2000000</v>
      </c>
      <c r="G156" s="33"/>
      <c r="H156" s="33">
        <f t="shared" si="2"/>
        <v>2000000</v>
      </c>
      <c r="J156" s="17"/>
      <c r="K156" s="17"/>
    </row>
    <row r="157" spans="1:19" s="3" customFormat="1" ht="30.75" customHeight="1" x14ac:dyDescent="0.2">
      <c r="A157" s="26"/>
      <c r="B157" s="26"/>
      <c r="C157" s="26"/>
      <c r="D157" s="39"/>
      <c r="E157" s="179" t="s">
        <v>89</v>
      </c>
      <c r="F157" s="33">
        <v>790259</v>
      </c>
      <c r="G157" s="33"/>
      <c r="H157" s="33">
        <f t="shared" si="2"/>
        <v>790259</v>
      </c>
      <c r="J157" s="17"/>
      <c r="K157" s="17"/>
    </row>
    <row r="158" spans="1:19" s="3" customFormat="1" ht="47.25" customHeight="1" x14ac:dyDescent="0.2">
      <c r="A158" s="26"/>
      <c r="B158" s="26"/>
      <c r="C158" s="26"/>
      <c r="D158" s="39"/>
      <c r="E158" s="179" t="s">
        <v>90</v>
      </c>
      <c r="F158" s="33">
        <v>1001714</v>
      </c>
      <c r="G158" s="33">
        <f>-943333</f>
        <v>-943333</v>
      </c>
      <c r="H158" s="33">
        <f t="shared" si="2"/>
        <v>58381</v>
      </c>
      <c r="J158" s="17"/>
      <c r="K158" s="17"/>
    </row>
    <row r="159" spans="1:19" s="3" customFormat="1" ht="58.5" customHeight="1" x14ac:dyDescent="0.2">
      <c r="A159" s="26"/>
      <c r="B159" s="26"/>
      <c r="C159" s="26"/>
      <c r="D159" s="39"/>
      <c r="E159" s="179" t="s">
        <v>91</v>
      </c>
      <c r="F159" s="33">
        <v>10000</v>
      </c>
      <c r="G159" s="33"/>
      <c r="H159" s="33">
        <f t="shared" si="2"/>
        <v>10000</v>
      </c>
      <c r="J159" s="17"/>
      <c r="K159" s="17"/>
    </row>
    <row r="160" spans="1:19" s="88" customFormat="1" ht="27" customHeight="1" x14ac:dyDescent="0.2">
      <c r="A160" s="26" t="s">
        <v>342</v>
      </c>
      <c r="B160" s="26" t="s">
        <v>337</v>
      </c>
      <c r="C160" s="26" t="s">
        <v>308</v>
      </c>
      <c r="D160" s="39" t="s">
        <v>338</v>
      </c>
      <c r="E160" s="74"/>
      <c r="F160" s="51">
        <f>SUM(F161)</f>
        <v>3000000</v>
      </c>
      <c r="G160" s="51">
        <f>SUM(G161)</f>
        <v>0</v>
      </c>
      <c r="H160" s="30">
        <f t="shared" si="2"/>
        <v>3000000</v>
      </c>
      <c r="I160" s="86"/>
      <c r="J160" s="91"/>
      <c r="K160" s="91"/>
    </row>
    <row r="161" spans="1:11" s="3" customFormat="1" ht="53.25" customHeight="1" x14ac:dyDescent="0.2">
      <c r="A161" s="26"/>
      <c r="B161" s="26"/>
      <c r="C161" s="26"/>
      <c r="D161" s="39"/>
      <c r="E161" s="180" t="s">
        <v>92</v>
      </c>
      <c r="F161" s="33">
        <f>3000000</f>
        <v>3000000</v>
      </c>
      <c r="G161" s="33"/>
      <c r="H161" s="33">
        <f t="shared" si="2"/>
        <v>3000000</v>
      </c>
      <c r="J161" s="17"/>
      <c r="K161" s="17"/>
    </row>
    <row r="162" spans="1:11" s="3" customFormat="1" ht="72" customHeight="1" x14ac:dyDescent="0.2">
      <c r="A162" s="26" t="s">
        <v>351</v>
      </c>
      <c r="B162" s="26" t="s">
        <v>352</v>
      </c>
      <c r="C162" s="26" t="s">
        <v>308</v>
      </c>
      <c r="D162" s="39" t="s">
        <v>353</v>
      </c>
      <c r="E162" s="97"/>
      <c r="F162" s="51">
        <f>SUM(F163)</f>
        <v>41632</v>
      </c>
      <c r="G162" s="51">
        <f>SUM(G163)</f>
        <v>0</v>
      </c>
      <c r="H162" s="30">
        <f t="shared" si="2"/>
        <v>41632</v>
      </c>
      <c r="J162" s="17"/>
      <c r="K162" s="17"/>
    </row>
    <row r="163" spans="1:11" s="3" customFormat="1" ht="101.25" customHeight="1" x14ac:dyDescent="0.2">
      <c r="A163" s="26"/>
      <c r="B163" s="26"/>
      <c r="C163" s="26"/>
      <c r="D163" s="39"/>
      <c r="E163" s="178" t="s">
        <v>714</v>
      </c>
      <c r="F163" s="33">
        <f>41632</f>
        <v>41632</v>
      </c>
      <c r="G163" s="33"/>
      <c r="H163" s="33">
        <f t="shared" si="2"/>
        <v>41632</v>
      </c>
      <c r="J163" s="17"/>
      <c r="K163" s="17"/>
    </row>
    <row r="164" spans="1:11" s="88" customFormat="1" ht="37.5" x14ac:dyDescent="0.2">
      <c r="A164" s="26" t="s">
        <v>433</v>
      </c>
      <c r="B164" s="26" t="s">
        <v>435</v>
      </c>
      <c r="C164" s="26" t="s">
        <v>266</v>
      </c>
      <c r="D164" s="39" t="s">
        <v>434</v>
      </c>
      <c r="E164" s="74"/>
      <c r="F164" s="51">
        <f>SUM(F165:F174)</f>
        <v>50000</v>
      </c>
      <c r="G164" s="51">
        <f>SUM(G165:G174)</f>
        <v>290000</v>
      </c>
      <c r="H164" s="30">
        <f t="shared" si="2"/>
        <v>340000</v>
      </c>
      <c r="I164" s="86"/>
      <c r="J164" s="91"/>
      <c r="K164" s="91"/>
    </row>
    <row r="165" spans="1:11" s="3" customFormat="1" ht="77.25" customHeight="1" x14ac:dyDescent="0.2">
      <c r="A165" s="26"/>
      <c r="B165" s="26"/>
      <c r="C165" s="26"/>
      <c r="D165" s="39"/>
      <c r="E165" s="78" t="s">
        <v>706</v>
      </c>
      <c r="F165" s="33">
        <f>50000</f>
        <v>50000</v>
      </c>
      <c r="G165" s="33"/>
      <c r="H165" s="33">
        <f t="shared" si="2"/>
        <v>50000</v>
      </c>
      <c r="J165" s="17"/>
      <c r="K165" s="17"/>
    </row>
    <row r="166" spans="1:11" s="3" customFormat="1" ht="93.75" customHeight="1" x14ac:dyDescent="0.2">
      <c r="A166" s="26"/>
      <c r="B166" s="26"/>
      <c r="C166" s="26"/>
      <c r="D166" s="39"/>
      <c r="E166" s="178" t="s">
        <v>144</v>
      </c>
      <c r="F166" s="33"/>
      <c r="G166" s="207">
        <v>50000</v>
      </c>
      <c r="H166" s="33">
        <f t="shared" si="2"/>
        <v>50000</v>
      </c>
      <c r="J166" s="17"/>
      <c r="K166" s="17"/>
    </row>
    <row r="167" spans="1:11" s="3" customFormat="1" ht="66" customHeight="1" x14ac:dyDescent="0.2">
      <c r="A167" s="26"/>
      <c r="B167" s="26"/>
      <c r="C167" s="26"/>
      <c r="D167" s="39"/>
      <c r="E167" s="178" t="s">
        <v>145</v>
      </c>
      <c r="F167" s="33"/>
      <c r="G167" s="207">
        <v>50000</v>
      </c>
      <c r="H167" s="33">
        <f t="shared" si="2"/>
        <v>50000</v>
      </c>
      <c r="J167" s="17"/>
      <c r="K167" s="17"/>
    </row>
    <row r="168" spans="1:11" s="3" customFormat="1" ht="102.75" customHeight="1" x14ac:dyDescent="0.2">
      <c r="A168" s="26"/>
      <c r="B168" s="26"/>
      <c r="C168" s="26"/>
      <c r="D168" s="39"/>
      <c r="E168" s="178" t="s">
        <v>146</v>
      </c>
      <c r="F168" s="33"/>
      <c r="G168" s="207">
        <v>10000</v>
      </c>
      <c r="H168" s="33">
        <f t="shared" si="2"/>
        <v>10000</v>
      </c>
      <c r="J168" s="17"/>
      <c r="K168" s="17"/>
    </row>
    <row r="169" spans="1:11" s="3" customFormat="1" ht="77.25" customHeight="1" x14ac:dyDescent="0.2">
      <c r="A169" s="26"/>
      <c r="B169" s="26"/>
      <c r="C169" s="26"/>
      <c r="D169" s="39"/>
      <c r="E169" s="178" t="s">
        <v>147</v>
      </c>
      <c r="F169" s="33"/>
      <c r="G169" s="207">
        <v>70000</v>
      </c>
      <c r="H169" s="33">
        <f t="shared" si="2"/>
        <v>70000</v>
      </c>
      <c r="J169" s="17"/>
      <c r="K169" s="17"/>
    </row>
    <row r="170" spans="1:11" s="3" customFormat="1" ht="77.25" customHeight="1" x14ac:dyDescent="0.2">
      <c r="A170" s="26"/>
      <c r="B170" s="26"/>
      <c r="C170" s="26"/>
      <c r="D170" s="39"/>
      <c r="E170" s="178" t="s">
        <v>148</v>
      </c>
      <c r="F170" s="33"/>
      <c r="G170" s="207">
        <v>20000</v>
      </c>
      <c r="H170" s="33">
        <f t="shared" si="2"/>
        <v>20000</v>
      </c>
      <c r="J170" s="17"/>
      <c r="K170" s="17"/>
    </row>
    <row r="171" spans="1:11" s="3" customFormat="1" ht="77.25" customHeight="1" x14ac:dyDescent="0.2">
      <c r="A171" s="26"/>
      <c r="B171" s="26"/>
      <c r="C171" s="26"/>
      <c r="D171" s="39"/>
      <c r="E171" s="178" t="s">
        <v>149</v>
      </c>
      <c r="F171" s="33"/>
      <c r="G171" s="207">
        <v>20000</v>
      </c>
      <c r="H171" s="33">
        <f t="shared" si="2"/>
        <v>20000</v>
      </c>
      <c r="J171" s="17"/>
      <c r="K171" s="17"/>
    </row>
    <row r="172" spans="1:11" s="3" customFormat="1" ht="77.25" customHeight="1" x14ac:dyDescent="0.2">
      <c r="A172" s="26"/>
      <c r="B172" s="26"/>
      <c r="C172" s="26"/>
      <c r="D172" s="39"/>
      <c r="E172" s="178" t="s">
        <v>150</v>
      </c>
      <c r="F172" s="33"/>
      <c r="G172" s="207">
        <v>30000</v>
      </c>
      <c r="H172" s="33">
        <f t="shared" si="2"/>
        <v>30000</v>
      </c>
      <c r="J172" s="17"/>
      <c r="K172" s="17"/>
    </row>
    <row r="173" spans="1:11" s="3" customFormat="1" ht="77.25" customHeight="1" x14ac:dyDescent="0.2">
      <c r="A173" s="26"/>
      <c r="B173" s="26"/>
      <c r="C173" s="26"/>
      <c r="D173" s="39"/>
      <c r="E173" s="178" t="s">
        <v>151</v>
      </c>
      <c r="F173" s="33"/>
      <c r="G173" s="207">
        <v>20000</v>
      </c>
      <c r="H173" s="33">
        <f t="shared" si="2"/>
        <v>20000</v>
      </c>
      <c r="J173" s="17"/>
      <c r="K173" s="17"/>
    </row>
    <row r="174" spans="1:11" s="3" customFormat="1" ht="77.25" customHeight="1" x14ac:dyDescent="0.2">
      <c r="A174" s="26"/>
      <c r="B174" s="26"/>
      <c r="C174" s="26"/>
      <c r="D174" s="39"/>
      <c r="E174" s="178" t="s">
        <v>152</v>
      </c>
      <c r="F174" s="33"/>
      <c r="G174" s="207">
        <v>20000</v>
      </c>
      <c r="H174" s="33">
        <f t="shared" si="2"/>
        <v>20000</v>
      </c>
      <c r="J174" s="17"/>
      <c r="K174" s="17"/>
    </row>
    <row r="175" spans="1:11" s="63" customFormat="1" ht="42.75" customHeight="1" x14ac:dyDescent="0.2">
      <c r="A175" s="20" t="s">
        <v>363</v>
      </c>
      <c r="B175" s="20"/>
      <c r="C175" s="20"/>
      <c r="D175" s="20" t="s">
        <v>285</v>
      </c>
      <c r="E175" s="40"/>
      <c r="F175" s="13">
        <f>F177</f>
        <v>600000</v>
      </c>
      <c r="G175" s="13">
        <f>G177</f>
        <v>0</v>
      </c>
      <c r="H175" s="13">
        <f t="shared" si="2"/>
        <v>600000</v>
      </c>
      <c r="J175" s="64"/>
      <c r="K175" s="64"/>
    </row>
    <row r="176" spans="1:11" s="63" customFormat="1" ht="42.75" customHeight="1" x14ac:dyDescent="0.2">
      <c r="A176" s="20" t="s">
        <v>364</v>
      </c>
      <c r="B176" s="20"/>
      <c r="C176" s="20"/>
      <c r="D176" s="23" t="s">
        <v>285</v>
      </c>
      <c r="E176" s="40"/>
      <c r="F176" s="13"/>
      <c r="G176" s="13"/>
      <c r="H176" s="13"/>
      <c r="J176" s="64"/>
      <c r="K176" s="64"/>
    </row>
    <row r="177" spans="1:17" s="93" customFormat="1" ht="42.75" customHeight="1" x14ac:dyDescent="0.2">
      <c r="A177" s="26" t="s">
        <v>366</v>
      </c>
      <c r="B177" s="26" t="s">
        <v>292</v>
      </c>
      <c r="C177" s="26" t="s">
        <v>257</v>
      </c>
      <c r="D177" s="50" t="s">
        <v>293</v>
      </c>
      <c r="E177" s="98"/>
      <c r="F177" s="30">
        <f>SUM(F178)</f>
        <v>600000</v>
      </c>
      <c r="G177" s="30">
        <f>SUM(G178)</f>
        <v>0</v>
      </c>
      <c r="H177" s="30">
        <f>F177+G177</f>
        <v>600000</v>
      </c>
      <c r="J177" s="94"/>
      <c r="K177" s="94"/>
    </row>
    <row r="178" spans="1:17" s="3" customFormat="1" ht="66.75" customHeight="1" x14ac:dyDescent="0.2">
      <c r="A178" s="26"/>
      <c r="B178" s="26"/>
      <c r="C178" s="26"/>
      <c r="D178" s="31"/>
      <c r="E178" s="73" t="s">
        <v>705</v>
      </c>
      <c r="F178" s="33">
        <f>600000</f>
        <v>600000</v>
      </c>
      <c r="G178" s="33"/>
      <c r="H178" s="33">
        <f>F178+G178</f>
        <v>600000</v>
      </c>
      <c r="J178" s="17"/>
      <c r="K178" s="17"/>
    </row>
    <row r="179" spans="1:17" s="61" customFormat="1" ht="30" customHeight="1" x14ac:dyDescent="0.2">
      <c r="A179" s="55"/>
      <c r="B179" s="56"/>
      <c r="C179" s="56"/>
      <c r="D179" s="57"/>
      <c r="E179" s="58" t="s">
        <v>300</v>
      </c>
      <c r="F179" s="59">
        <f>F111+F175+F149+F113+F137+F127+F144+F133</f>
        <v>369765756</v>
      </c>
      <c r="G179" s="59">
        <f>G111+G175+G149+G113+G137+G127+G144+G133</f>
        <v>498493</v>
      </c>
      <c r="H179" s="13">
        <f>F179+G179</f>
        <v>370264249</v>
      </c>
      <c r="J179" s="99"/>
      <c r="K179" s="99"/>
      <c r="L179" s="173"/>
    </row>
    <row r="180" spans="1:17" s="3" customFormat="1" ht="48" customHeight="1" x14ac:dyDescent="0.2">
      <c r="A180" s="236" t="s">
        <v>652</v>
      </c>
      <c r="B180" s="236"/>
      <c r="C180" s="236"/>
      <c r="D180" s="236"/>
      <c r="E180" s="236"/>
      <c r="F180" s="236"/>
      <c r="G180" s="236"/>
      <c r="H180" s="236"/>
      <c r="J180" s="17"/>
      <c r="K180" s="17"/>
    </row>
    <row r="181" spans="1:17" s="102" customFormat="1" ht="24" customHeight="1" x14ac:dyDescent="0.2">
      <c r="A181" s="20" t="s">
        <v>294</v>
      </c>
      <c r="B181" s="20"/>
      <c r="C181" s="20"/>
      <c r="D181" s="20" t="s">
        <v>265</v>
      </c>
      <c r="E181" s="34"/>
      <c r="F181" s="13">
        <f>F193+F187+F191+F183+F200+F198+F202+F204+F196</f>
        <v>32423537</v>
      </c>
      <c r="G181" s="13">
        <f>G193+G187+G191+G183+G200+G198+G202+G204+G196</f>
        <v>1008383</v>
      </c>
      <c r="H181" s="13">
        <f t="shared" si="1"/>
        <v>33431920</v>
      </c>
      <c r="I181" s="100"/>
      <c r="J181" s="101"/>
      <c r="K181" s="101"/>
      <c r="L181" s="100"/>
      <c r="M181" s="100"/>
      <c r="N181" s="100"/>
      <c r="O181" s="100"/>
      <c r="P181" s="100"/>
      <c r="Q181" s="100"/>
    </row>
    <row r="182" spans="1:17" s="102" customFormat="1" ht="24" customHeight="1" x14ac:dyDescent="0.2">
      <c r="A182" s="20" t="s">
        <v>295</v>
      </c>
      <c r="B182" s="20"/>
      <c r="C182" s="20"/>
      <c r="D182" s="23" t="s">
        <v>265</v>
      </c>
      <c r="E182" s="34"/>
      <c r="F182" s="13"/>
      <c r="G182" s="69"/>
      <c r="H182" s="13">
        <f t="shared" si="1"/>
        <v>0</v>
      </c>
      <c r="I182" s="100"/>
      <c r="J182" s="101"/>
      <c r="K182" s="101"/>
      <c r="L182" s="100"/>
      <c r="M182" s="100"/>
      <c r="N182" s="100"/>
      <c r="O182" s="100"/>
      <c r="P182" s="100"/>
      <c r="Q182" s="100"/>
    </row>
    <row r="183" spans="1:17" s="52" customFormat="1" ht="56.25" x14ac:dyDescent="0.2">
      <c r="A183" s="49" t="s">
        <v>452</v>
      </c>
      <c r="B183" s="49" t="s">
        <v>317</v>
      </c>
      <c r="C183" s="49" t="s">
        <v>258</v>
      </c>
      <c r="D183" s="50" t="s">
        <v>318</v>
      </c>
      <c r="E183" s="103"/>
      <c r="F183" s="29">
        <f>SUM(F184:F186)</f>
        <v>1029394</v>
      </c>
      <c r="G183" s="29">
        <f>SUM(G184:G186)</f>
        <v>336165</v>
      </c>
      <c r="H183" s="30">
        <f t="shared" si="1"/>
        <v>1365559</v>
      </c>
      <c r="J183" s="53"/>
      <c r="K183" s="53"/>
    </row>
    <row r="184" spans="1:17" s="18" customFormat="1" ht="33.75" customHeight="1" x14ac:dyDescent="0.2">
      <c r="A184" s="26"/>
      <c r="B184" s="26"/>
      <c r="C184" s="26"/>
      <c r="D184" s="39"/>
      <c r="E184" s="43" t="s">
        <v>445</v>
      </c>
      <c r="F184" s="45">
        <v>756894</v>
      </c>
      <c r="G184" s="33">
        <f>197625+45840+92700</f>
        <v>336165</v>
      </c>
      <c r="H184" s="33">
        <f t="shared" si="1"/>
        <v>1093059</v>
      </c>
      <c r="J184" s="42"/>
      <c r="K184" s="42"/>
    </row>
    <row r="185" spans="1:17" s="18" customFormat="1" ht="33.75" customHeight="1" x14ac:dyDescent="0.2">
      <c r="A185" s="26"/>
      <c r="B185" s="26"/>
      <c r="C185" s="26"/>
      <c r="D185" s="39"/>
      <c r="E185" s="34" t="s">
        <v>690</v>
      </c>
      <c r="F185" s="45">
        <v>191000</v>
      </c>
      <c r="G185" s="33"/>
      <c r="H185" s="33">
        <f t="shared" si="1"/>
        <v>191000</v>
      </c>
      <c r="J185" s="42"/>
      <c r="K185" s="42"/>
    </row>
    <row r="186" spans="1:17" s="18" customFormat="1" ht="33.75" customHeight="1" x14ac:dyDescent="0.2">
      <c r="A186" s="26"/>
      <c r="B186" s="26"/>
      <c r="C186" s="26"/>
      <c r="D186" s="39"/>
      <c r="E186" s="34" t="s">
        <v>472</v>
      </c>
      <c r="F186" s="45">
        <v>81500</v>
      </c>
      <c r="G186" s="33"/>
      <c r="H186" s="33">
        <f t="shared" si="1"/>
        <v>81500</v>
      </c>
      <c r="J186" s="42"/>
      <c r="K186" s="42"/>
    </row>
    <row r="187" spans="1:17" s="52" customFormat="1" x14ac:dyDescent="0.2">
      <c r="A187" s="26" t="s">
        <v>417</v>
      </c>
      <c r="B187" s="26" t="s">
        <v>257</v>
      </c>
      <c r="C187" s="26" t="s">
        <v>268</v>
      </c>
      <c r="D187" s="39" t="s">
        <v>298</v>
      </c>
      <c r="E187" s="103"/>
      <c r="F187" s="29">
        <f>SUM(F188:F190)</f>
        <v>6300000</v>
      </c>
      <c r="G187" s="29">
        <f>SUM(G188:G190)</f>
        <v>-36630</v>
      </c>
      <c r="H187" s="30">
        <f t="shared" si="1"/>
        <v>6263370</v>
      </c>
      <c r="J187" s="53"/>
      <c r="K187" s="53"/>
    </row>
    <row r="188" spans="1:17" s="18" customFormat="1" ht="33.75" customHeight="1" x14ac:dyDescent="0.2">
      <c r="A188" s="26"/>
      <c r="B188" s="26"/>
      <c r="C188" s="26"/>
      <c r="D188" s="39"/>
      <c r="E188" s="43" t="s">
        <v>429</v>
      </c>
      <c r="F188" s="45">
        <v>1000000</v>
      </c>
      <c r="G188" s="46"/>
      <c r="H188" s="33">
        <f t="shared" si="1"/>
        <v>1000000</v>
      </c>
      <c r="J188" s="42"/>
      <c r="K188" s="42"/>
    </row>
    <row r="189" spans="1:17" s="18" customFormat="1" ht="33.75" customHeight="1" x14ac:dyDescent="0.2">
      <c r="A189" s="26"/>
      <c r="B189" s="26"/>
      <c r="C189" s="26"/>
      <c r="D189" s="39"/>
      <c r="E189" s="43" t="s">
        <v>606</v>
      </c>
      <c r="F189" s="45">
        <v>1000000</v>
      </c>
      <c r="G189" s="46"/>
      <c r="H189" s="33">
        <f t="shared" si="1"/>
        <v>1000000</v>
      </c>
      <c r="J189" s="42"/>
      <c r="K189" s="42"/>
    </row>
    <row r="190" spans="1:17" s="18" customFormat="1" ht="33.75" customHeight="1" x14ac:dyDescent="0.2">
      <c r="A190" s="26"/>
      <c r="B190" s="26"/>
      <c r="C190" s="26"/>
      <c r="D190" s="39"/>
      <c r="E190" s="34" t="s">
        <v>440</v>
      </c>
      <c r="F190" s="45">
        <v>4300000</v>
      </c>
      <c r="G190" s="46">
        <f>-36630</f>
        <v>-36630</v>
      </c>
      <c r="H190" s="33">
        <f t="shared" si="1"/>
        <v>4263370</v>
      </c>
      <c r="J190" s="42"/>
      <c r="K190" s="42"/>
    </row>
    <row r="191" spans="1:17" s="18" customFormat="1" ht="24.75" customHeight="1" x14ac:dyDescent="0.2">
      <c r="A191" s="26" t="s">
        <v>428</v>
      </c>
      <c r="B191" s="26" t="s">
        <v>430</v>
      </c>
      <c r="C191" s="26" t="s">
        <v>431</v>
      </c>
      <c r="D191" s="26" t="s">
        <v>432</v>
      </c>
      <c r="E191" s="43"/>
      <c r="F191" s="104">
        <f>SUM(F192)</f>
        <v>14000000</v>
      </c>
      <c r="G191" s="104">
        <f>SUM(G192)</f>
        <v>0</v>
      </c>
      <c r="H191" s="30">
        <f t="shared" si="1"/>
        <v>14000000</v>
      </c>
      <c r="J191" s="42"/>
      <c r="K191" s="42"/>
    </row>
    <row r="192" spans="1:17" s="18" customFormat="1" ht="56.25" x14ac:dyDescent="0.2">
      <c r="A192" s="26"/>
      <c r="B192" s="26"/>
      <c r="C192" s="26"/>
      <c r="D192" s="39"/>
      <c r="E192" s="43" t="s">
        <v>465</v>
      </c>
      <c r="F192" s="45">
        <v>14000000</v>
      </c>
      <c r="G192" s="104"/>
      <c r="H192" s="33">
        <f t="shared" si="1"/>
        <v>14000000</v>
      </c>
      <c r="J192" s="42"/>
      <c r="K192" s="42"/>
    </row>
    <row r="193" spans="1:17" s="72" customFormat="1" ht="33" customHeight="1" x14ac:dyDescent="0.2">
      <c r="A193" s="26" t="s">
        <v>296</v>
      </c>
      <c r="B193" s="26" t="s">
        <v>297</v>
      </c>
      <c r="C193" s="26" t="s">
        <v>266</v>
      </c>
      <c r="D193" s="27" t="s">
        <v>267</v>
      </c>
      <c r="E193" s="40"/>
      <c r="F193" s="30">
        <f>SUM(F194:F195)</f>
        <v>11000000</v>
      </c>
      <c r="G193" s="30">
        <f>SUM(G194:G195)</f>
        <v>496000</v>
      </c>
      <c r="H193" s="30">
        <f t="shared" si="1"/>
        <v>11496000</v>
      </c>
      <c r="I193" s="70"/>
      <c r="J193" s="71"/>
      <c r="K193" s="71"/>
      <c r="L193" s="70"/>
      <c r="M193" s="70"/>
      <c r="N193" s="70"/>
      <c r="O193" s="70"/>
      <c r="P193" s="70"/>
      <c r="Q193" s="70"/>
    </row>
    <row r="194" spans="1:17" s="102" customFormat="1" ht="37.5" x14ac:dyDescent="0.2">
      <c r="A194" s="26"/>
      <c r="B194" s="26"/>
      <c r="C194" s="26"/>
      <c r="D194" s="26"/>
      <c r="E194" s="34" t="s">
        <v>372</v>
      </c>
      <c r="F194" s="33">
        <v>1000000</v>
      </c>
      <c r="G194" s="33">
        <f>920000-424000</f>
        <v>496000</v>
      </c>
      <c r="H194" s="33">
        <f t="shared" si="1"/>
        <v>1496000</v>
      </c>
      <c r="I194" s="100"/>
      <c r="J194" s="101"/>
      <c r="K194" s="101"/>
      <c r="L194" s="100"/>
      <c r="M194" s="100"/>
      <c r="N194" s="100"/>
      <c r="O194" s="100"/>
      <c r="P194" s="100"/>
      <c r="Q194" s="100"/>
    </row>
    <row r="195" spans="1:17" s="102" customFormat="1" ht="56.25" x14ac:dyDescent="0.2">
      <c r="A195" s="26"/>
      <c r="B195" s="26"/>
      <c r="C195" s="26"/>
      <c r="D195" s="26"/>
      <c r="E195" s="34" t="s">
        <v>592</v>
      </c>
      <c r="F195" s="33">
        <v>10000000</v>
      </c>
      <c r="G195" s="104"/>
      <c r="H195" s="33">
        <f t="shared" si="1"/>
        <v>10000000</v>
      </c>
      <c r="I195" s="100"/>
      <c r="J195" s="101"/>
      <c r="K195" s="101"/>
      <c r="L195" s="100"/>
      <c r="M195" s="100"/>
      <c r="N195" s="100"/>
      <c r="O195" s="100"/>
      <c r="P195" s="100"/>
      <c r="Q195" s="100"/>
    </row>
    <row r="196" spans="1:17" s="102" customFormat="1" x14ac:dyDescent="0.2">
      <c r="A196" s="105" t="s">
        <v>165</v>
      </c>
      <c r="B196" s="26" t="s">
        <v>166</v>
      </c>
      <c r="C196" s="26" t="s">
        <v>266</v>
      </c>
      <c r="D196" s="78" t="s">
        <v>167</v>
      </c>
      <c r="E196" s="34"/>
      <c r="F196" s="30">
        <f>SUM(F197)</f>
        <v>0</v>
      </c>
      <c r="G196" s="30">
        <f>SUM(G197)</f>
        <v>42916</v>
      </c>
      <c r="H196" s="30">
        <f>F196+G196</f>
        <v>42916</v>
      </c>
      <c r="I196" s="100"/>
      <c r="J196" s="101"/>
      <c r="K196" s="101"/>
      <c r="L196" s="100"/>
      <c r="M196" s="100"/>
      <c r="N196" s="100"/>
      <c r="O196" s="100"/>
      <c r="P196" s="100"/>
      <c r="Q196" s="100"/>
    </row>
    <row r="197" spans="1:17" s="102" customFormat="1" ht="75" x14ac:dyDescent="0.2">
      <c r="A197" s="26"/>
      <c r="B197" s="26"/>
      <c r="C197" s="26"/>
      <c r="D197" s="26"/>
      <c r="E197" s="182" t="s">
        <v>168</v>
      </c>
      <c r="F197" s="104"/>
      <c r="G197" s="104">
        <f>42916</f>
        <v>42916</v>
      </c>
      <c r="H197" s="33">
        <f>F197+G197</f>
        <v>42916</v>
      </c>
      <c r="I197" s="100"/>
      <c r="J197" s="101"/>
      <c r="K197" s="101"/>
      <c r="L197" s="100"/>
      <c r="M197" s="100"/>
      <c r="N197" s="100"/>
      <c r="O197" s="100"/>
      <c r="P197" s="100"/>
      <c r="Q197" s="100"/>
    </row>
    <row r="198" spans="1:17" s="102" customFormat="1" ht="37.5" x14ac:dyDescent="0.2">
      <c r="A198" s="105" t="s">
        <v>685</v>
      </c>
      <c r="B198" s="26" t="s">
        <v>686</v>
      </c>
      <c r="C198" s="26" t="s">
        <v>687</v>
      </c>
      <c r="D198" s="78" t="s">
        <v>688</v>
      </c>
      <c r="E198" s="34"/>
      <c r="F198" s="30">
        <f>SUM(F199)</f>
        <v>38500</v>
      </c>
      <c r="G198" s="30">
        <f>SUM(G199)</f>
        <v>110532</v>
      </c>
      <c r="H198" s="30">
        <f t="shared" si="1"/>
        <v>149032</v>
      </c>
      <c r="I198" s="100"/>
      <c r="J198" s="101"/>
      <c r="K198" s="101"/>
      <c r="L198" s="100"/>
      <c r="M198" s="100"/>
      <c r="N198" s="100"/>
      <c r="O198" s="100"/>
      <c r="P198" s="100"/>
      <c r="Q198" s="100"/>
    </row>
    <row r="199" spans="1:17" s="102" customFormat="1" ht="75" x14ac:dyDescent="0.2">
      <c r="A199" s="26"/>
      <c r="B199" s="26"/>
      <c r="C199" s="26"/>
      <c r="D199" s="26"/>
      <c r="E199" s="34" t="s">
        <v>689</v>
      </c>
      <c r="F199" s="104">
        <f>38500</f>
        <v>38500</v>
      </c>
      <c r="G199" s="45">
        <f>110532</f>
        <v>110532</v>
      </c>
      <c r="H199" s="33">
        <f t="shared" si="1"/>
        <v>149032</v>
      </c>
      <c r="I199" s="100"/>
      <c r="J199" s="101"/>
      <c r="K199" s="101"/>
      <c r="L199" s="100"/>
      <c r="M199" s="100"/>
      <c r="N199" s="100"/>
      <c r="O199" s="100"/>
      <c r="P199" s="100"/>
      <c r="Q199" s="100"/>
    </row>
    <row r="200" spans="1:17" s="102" customFormat="1" ht="37.5" x14ac:dyDescent="0.2">
      <c r="A200" s="26" t="s">
        <v>468</v>
      </c>
      <c r="B200" s="26" t="s">
        <v>469</v>
      </c>
      <c r="C200" s="26" t="s">
        <v>470</v>
      </c>
      <c r="D200" s="27" t="s">
        <v>471</v>
      </c>
      <c r="E200" s="34"/>
      <c r="F200" s="30">
        <f>SUM(F201)</f>
        <v>30000</v>
      </c>
      <c r="G200" s="30">
        <f>SUM(G201)</f>
        <v>0</v>
      </c>
      <c r="H200" s="30">
        <f t="shared" si="1"/>
        <v>30000</v>
      </c>
      <c r="I200" s="100"/>
      <c r="J200" s="101"/>
      <c r="K200" s="101"/>
      <c r="L200" s="100"/>
      <c r="M200" s="100"/>
      <c r="N200" s="100"/>
      <c r="O200" s="100"/>
      <c r="P200" s="100"/>
      <c r="Q200" s="100"/>
    </row>
    <row r="201" spans="1:17" s="102" customFormat="1" ht="56.25" x14ac:dyDescent="0.2">
      <c r="A201" s="26"/>
      <c r="B201" s="26"/>
      <c r="C201" s="26"/>
      <c r="D201" s="26"/>
      <c r="E201" s="34" t="s">
        <v>628</v>
      </c>
      <c r="F201" s="33">
        <v>30000</v>
      </c>
      <c r="G201" s="80"/>
      <c r="H201" s="33">
        <f t="shared" si="1"/>
        <v>30000</v>
      </c>
      <c r="I201" s="100"/>
      <c r="J201" s="101"/>
      <c r="K201" s="101"/>
      <c r="L201" s="100"/>
      <c r="M201" s="100"/>
      <c r="N201" s="100"/>
      <c r="O201" s="100"/>
      <c r="P201" s="100"/>
      <c r="Q201" s="100"/>
    </row>
    <row r="202" spans="1:17" s="102" customFormat="1" x14ac:dyDescent="0.2">
      <c r="A202" s="26" t="s">
        <v>58</v>
      </c>
      <c r="B202" s="26" t="s">
        <v>59</v>
      </c>
      <c r="C202" s="26" t="s">
        <v>470</v>
      </c>
      <c r="D202" s="27" t="s">
        <v>60</v>
      </c>
      <c r="E202" s="34"/>
      <c r="F202" s="33">
        <f>F203</f>
        <v>16654</v>
      </c>
      <c r="G202" s="33">
        <f>G203</f>
        <v>59400</v>
      </c>
      <c r="H202" s="30">
        <f t="shared" si="1"/>
        <v>76054</v>
      </c>
      <c r="I202" s="100"/>
      <c r="J202" s="101"/>
      <c r="K202" s="101"/>
      <c r="L202" s="100"/>
      <c r="M202" s="100"/>
      <c r="N202" s="100"/>
      <c r="O202" s="100"/>
      <c r="P202" s="100"/>
      <c r="Q202" s="100"/>
    </row>
    <row r="203" spans="1:17" s="102" customFormat="1" ht="37.5" x14ac:dyDescent="0.2">
      <c r="A203" s="26"/>
      <c r="B203" s="26"/>
      <c r="C203" s="26"/>
      <c r="D203" s="26"/>
      <c r="E203" s="34" t="s">
        <v>61</v>
      </c>
      <c r="F203" s="46">
        <f>16654</f>
        <v>16654</v>
      </c>
      <c r="G203" s="46">
        <f>19900+18500+21000</f>
        <v>59400</v>
      </c>
      <c r="H203" s="33">
        <f t="shared" si="1"/>
        <v>76054</v>
      </c>
      <c r="I203" s="100"/>
      <c r="J203" s="101"/>
      <c r="K203" s="101"/>
      <c r="L203" s="100"/>
      <c r="M203" s="100"/>
      <c r="N203" s="100"/>
      <c r="O203" s="100"/>
      <c r="P203" s="100"/>
      <c r="Q203" s="100"/>
    </row>
    <row r="204" spans="1:17" s="102" customFormat="1" x14ac:dyDescent="0.2">
      <c r="A204" s="26" t="s">
        <v>134</v>
      </c>
      <c r="B204" s="26" t="s">
        <v>135</v>
      </c>
      <c r="C204" s="26" t="s">
        <v>470</v>
      </c>
      <c r="D204" s="26" t="s">
        <v>136</v>
      </c>
      <c r="E204" s="34"/>
      <c r="F204" s="33">
        <f>F205</f>
        <v>8989</v>
      </c>
      <c r="G204" s="51">
        <f>G205</f>
        <v>0</v>
      </c>
      <c r="H204" s="30">
        <f t="shared" si="1"/>
        <v>8989</v>
      </c>
      <c r="I204" s="100"/>
      <c r="J204" s="101"/>
      <c r="K204" s="101"/>
      <c r="L204" s="100"/>
      <c r="M204" s="100"/>
      <c r="N204" s="100"/>
      <c r="O204" s="100"/>
      <c r="P204" s="100"/>
      <c r="Q204" s="100"/>
    </row>
    <row r="205" spans="1:17" s="102" customFormat="1" ht="37.5" x14ac:dyDescent="0.2">
      <c r="A205" s="26"/>
      <c r="B205" s="26"/>
      <c r="C205" s="26"/>
      <c r="D205" s="26"/>
      <c r="E205" s="34" t="s">
        <v>137</v>
      </c>
      <c r="F205" s="46">
        <v>8989</v>
      </c>
      <c r="G205" s="46"/>
      <c r="H205" s="33">
        <f t="shared" si="1"/>
        <v>8989</v>
      </c>
      <c r="I205" s="100"/>
      <c r="J205" s="101"/>
      <c r="K205" s="101"/>
      <c r="L205" s="100"/>
      <c r="M205" s="100"/>
      <c r="N205" s="100"/>
      <c r="O205" s="100"/>
      <c r="P205" s="100"/>
      <c r="Q205" s="100"/>
    </row>
    <row r="206" spans="1:17" s="102" customFormat="1" ht="42.75" customHeight="1" x14ac:dyDescent="0.2">
      <c r="A206" s="20" t="s">
        <v>310</v>
      </c>
      <c r="B206" s="20"/>
      <c r="C206" s="20"/>
      <c r="D206" s="19" t="s">
        <v>289</v>
      </c>
      <c r="E206" s="85"/>
      <c r="F206" s="13">
        <f>F216+F208+F233+F244+F247+F230+F241+F237+F239</f>
        <v>57796963</v>
      </c>
      <c r="G206" s="13">
        <f>G216+G208+G233+G244+G247+G230+G241+G237+G239</f>
        <v>614203</v>
      </c>
      <c r="H206" s="13">
        <f t="shared" si="1"/>
        <v>58411166</v>
      </c>
      <c r="I206" s="100"/>
      <c r="J206" s="101"/>
      <c r="K206" s="106"/>
      <c r="L206" s="100"/>
      <c r="M206" s="100"/>
      <c r="N206" s="100"/>
      <c r="O206" s="100"/>
      <c r="P206" s="100"/>
      <c r="Q206" s="100"/>
    </row>
    <row r="207" spans="1:17" s="109" customFormat="1" ht="42.75" customHeight="1" x14ac:dyDescent="0.2">
      <c r="A207" s="20" t="s">
        <v>311</v>
      </c>
      <c r="B207" s="20"/>
      <c r="C207" s="20"/>
      <c r="D207" s="36" t="s">
        <v>289</v>
      </c>
      <c r="E207" s="40"/>
      <c r="F207" s="13"/>
      <c r="G207" s="29"/>
      <c r="H207" s="13">
        <f t="shared" si="1"/>
        <v>0</v>
      </c>
      <c r="I207" s="107"/>
      <c r="J207" s="108"/>
      <c r="K207" s="108"/>
      <c r="L207" s="107"/>
      <c r="M207" s="107"/>
      <c r="N207" s="107"/>
      <c r="O207" s="107"/>
      <c r="P207" s="107"/>
      <c r="Q207" s="107"/>
    </row>
    <row r="208" spans="1:17" s="68" customFormat="1" ht="28.5" customHeight="1" x14ac:dyDescent="0.2">
      <c r="A208" s="26" t="s">
        <v>473</v>
      </c>
      <c r="B208" s="26" t="s">
        <v>269</v>
      </c>
      <c r="C208" s="26" t="s">
        <v>270</v>
      </c>
      <c r="D208" s="73" t="s">
        <v>312</v>
      </c>
      <c r="E208" s="40"/>
      <c r="F208" s="30">
        <f>SUM(F209:F215)</f>
        <v>5398742</v>
      </c>
      <c r="G208" s="30">
        <f>SUM(G209:G215)</f>
        <v>1221863</v>
      </c>
      <c r="H208" s="30">
        <f t="shared" si="1"/>
        <v>6620605</v>
      </c>
      <c r="I208" s="66"/>
      <c r="J208" s="67"/>
      <c r="K208" s="67"/>
      <c r="L208" s="66"/>
      <c r="M208" s="66"/>
      <c r="N208" s="66"/>
      <c r="O208" s="66"/>
      <c r="P208" s="66"/>
      <c r="Q208" s="66"/>
    </row>
    <row r="209" spans="1:17" s="68" customFormat="1" ht="28.5" customHeight="1" x14ac:dyDescent="0.2">
      <c r="A209" s="90"/>
      <c r="B209" s="90"/>
      <c r="C209" s="90"/>
      <c r="D209" s="38"/>
      <c r="E209" s="38" t="s">
        <v>32</v>
      </c>
      <c r="F209" s="33">
        <v>49000</v>
      </c>
      <c r="G209" s="33"/>
      <c r="H209" s="33">
        <f t="shared" si="1"/>
        <v>49000</v>
      </c>
      <c r="I209" s="66"/>
      <c r="J209" s="67"/>
      <c r="K209" s="67"/>
      <c r="L209" s="66"/>
      <c r="M209" s="66"/>
      <c r="N209" s="66"/>
      <c r="O209" s="66"/>
      <c r="P209" s="66"/>
      <c r="Q209" s="66"/>
    </row>
    <row r="210" spans="1:17" s="68" customFormat="1" ht="28.5" customHeight="1" x14ac:dyDescent="0.2">
      <c r="A210" s="90"/>
      <c r="B210" s="90"/>
      <c r="C210" s="90"/>
      <c r="D210" s="38"/>
      <c r="E210" s="38" t="s">
        <v>69</v>
      </c>
      <c r="F210" s="33">
        <v>13500</v>
      </c>
      <c r="G210" s="33"/>
      <c r="H210" s="33">
        <f t="shared" si="1"/>
        <v>13500</v>
      </c>
      <c r="I210" s="66"/>
      <c r="J210" s="67"/>
      <c r="K210" s="67"/>
      <c r="L210" s="66"/>
      <c r="M210" s="66"/>
      <c r="N210" s="66"/>
      <c r="O210" s="66"/>
      <c r="P210" s="66"/>
      <c r="Q210" s="66"/>
    </row>
    <row r="211" spans="1:17" s="68" customFormat="1" ht="28.5" customHeight="1" x14ac:dyDescent="0.2">
      <c r="A211" s="26"/>
      <c r="B211" s="26"/>
      <c r="C211" s="26"/>
      <c r="D211" s="73"/>
      <c r="E211" s="38" t="s">
        <v>474</v>
      </c>
      <c r="F211" s="33">
        <v>300000</v>
      </c>
      <c r="G211" s="25"/>
      <c r="H211" s="33">
        <f t="shared" si="1"/>
        <v>300000</v>
      </c>
      <c r="I211" s="66"/>
      <c r="J211" s="67"/>
      <c r="K211" s="67"/>
      <c r="L211" s="66"/>
      <c r="M211" s="66"/>
      <c r="N211" s="66"/>
      <c r="O211" s="66"/>
      <c r="P211" s="66"/>
      <c r="Q211" s="66"/>
    </row>
    <row r="212" spans="1:17" s="68" customFormat="1" ht="28.5" customHeight="1" x14ac:dyDescent="0.2">
      <c r="A212" s="26"/>
      <c r="B212" s="26"/>
      <c r="C212" s="26"/>
      <c r="D212" s="73"/>
      <c r="E212" s="110" t="s">
        <v>436</v>
      </c>
      <c r="F212" s="33">
        <v>4900000</v>
      </c>
      <c r="G212" s="25">
        <f>18500+12000+1481802-292720-59100-60000</f>
        <v>1100482</v>
      </c>
      <c r="H212" s="33">
        <f t="shared" si="1"/>
        <v>6000482</v>
      </c>
      <c r="I212" s="66"/>
      <c r="J212" s="67"/>
      <c r="K212" s="111"/>
      <c r="L212" s="66"/>
      <c r="M212" s="66"/>
      <c r="N212" s="66"/>
      <c r="O212" s="66"/>
      <c r="P212" s="66"/>
      <c r="Q212" s="66"/>
    </row>
    <row r="213" spans="1:17" s="68" customFormat="1" ht="28.5" customHeight="1" x14ac:dyDescent="0.2">
      <c r="A213" s="26"/>
      <c r="B213" s="26"/>
      <c r="C213" s="26"/>
      <c r="D213" s="73"/>
      <c r="E213" s="73" t="s">
        <v>64</v>
      </c>
      <c r="F213" s="33">
        <v>25225</v>
      </c>
      <c r="G213" s="25">
        <f>8999</f>
        <v>8999</v>
      </c>
      <c r="H213" s="33">
        <f t="shared" si="1"/>
        <v>34224</v>
      </c>
      <c r="I213" s="66"/>
      <c r="J213" s="67"/>
      <c r="K213" s="111"/>
      <c r="L213" s="66"/>
      <c r="M213" s="66"/>
      <c r="N213" s="66"/>
      <c r="O213" s="66"/>
      <c r="P213" s="66"/>
      <c r="Q213" s="66"/>
    </row>
    <row r="214" spans="1:17" s="68" customFormat="1" ht="45.75" customHeight="1" x14ac:dyDescent="0.2">
      <c r="A214" s="26"/>
      <c r="B214" s="26"/>
      <c r="C214" s="26"/>
      <c r="D214" s="73"/>
      <c r="E214" s="198" t="s">
        <v>661</v>
      </c>
      <c r="F214" s="33"/>
      <c r="G214" s="25">
        <f>99382</f>
        <v>99382</v>
      </c>
      <c r="H214" s="33">
        <f t="shared" si="1"/>
        <v>99382</v>
      </c>
      <c r="I214" s="66"/>
      <c r="J214" s="67"/>
      <c r="K214" s="111"/>
      <c r="L214" s="66"/>
      <c r="M214" s="66"/>
      <c r="N214" s="66"/>
      <c r="O214" s="66"/>
      <c r="P214" s="66"/>
      <c r="Q214" s="66"/>
    </row>
    <row r="215" spans="1:17" s="68" customFormat="1" ht="42" customHeight="1" x14ac:dyDescent="0.2">
      <c r="A215" s="26"/>
      <c r="B215" s="26"/>
      <c r="C215" s="26"/>
      <c r="D215" s="73"/>
      <c r="E215" s="73" t="s">
        <v>735</v>
      </c>
      <c r="F215" s="33">
        <v>111017</v>
      </c>
      <c r="G215" s="25">
        <f>45000-32000</f>
        <v>13000</v>
      </c>
      <c r="H215" s="33">
        <f t="shared" si="1"/>
        <v>124017</v>
      </c>
      <c r="I215" s="66"/>
      <c r="J215" s="67"/>
      <c r="K215" s="111"/>
      <c r="L215" s="66"/>
      <c r="M215" s="66"/>
      <c r="N215" s="66"/>
      <c r="O215" s="66"/>
      <c r="P215" s="66"/>
      <c r="Q215" s="66"/>
    </row>
    <row r="216" spans="1:17" s="68" customFormat="1" ht="99.75" customHeight="1" x14ac:dyDescent="0.2">
      <c r="A216" s="26" t="s">
        <v>313</v>
      </c>
      <c r="B216" s="26" t="s">
        <v>271</v>
      </c>
      <c r="C216" s="26" t="s">
        <v>272</v>
      </c>
      <c r="D216" s="39" t="s">
        <v>314</v>
      </c>
      <c r="E216" s="74"/>
      <c r="F216" s="30">
        <f>SUM(F217:F229)</f>
        <v>48378993</v>
      </c>
      <c r="G216" s="30">
        <f>SUM(G217:G229)</f>
        <v>-473215</v>
      </c>
      <c r="H216" s="30">
        <f t="shared" si="1"/>
        <v>47905778</v>
      </c>
      <c r="I216" s="66"/>
      <c r="J216" s="67"/>
      <c r="K216" s="67"/>
      <c r="L216" s="66"/>
      <c r="M216" s="66"/>
      <c r="N216" s="66"/>
      <c r="O216" s="66"/>
      <c r="P216" s="66"/>
      <c r="Q216" s="66"/>
    </row>
    <row r="217" spans="1:17" ht="21" x14ac:dyDescent="0.2">
      <c r="A217" s="202"/>
      <c r="B217" s="202"/>
      <c r="C217" s="202"/>
      <c r="D217" s="203"/>
      <c r="E217" s="110" t="s">
        <v>436</v>
      </c>
      <c r="F217" s="114">
        <v>12173600</v>
      </c>
      <c r="G217" s="25">
        <f>21500+250000+50000+12300+200000+107500+70000-559253+180000+20000</f>
        <v>352047</v>
      </c>
      <c r="H217" s="33">
        <f t="shared" si="1"/>
        <v>12525647</v>
      </c>
    </row>
    <row r="218" spans="1:17" ht="21" x14ac:dyDescent="0.2">
      <c r="A218" s="202"/>
      <c r="B218" s="202"/>
      <c r="C218" s="202"/>
      <c r="D218" s="203"/>
      <c r="E218" s="204" t="s">
        <v>237</v>
      </c>
      <c r="F218" s="114">
        <f>300000</f>
        <v>300000</v>
      </c>
      <c r="G218" s="25">
        <f>-300000</f>
        <v>-300000</v>
      </c>
      <c r="H218" s="33">
        <f t="shared" si="1"/>
        <v>0</v>
      </c>
    </row>
    <row r="219" spans="1:17" ht="21" x14ac:dyDescent="0.2">
      <c r="A219" s="202"/>
      <c r="B219" s="202"/>
      <c r="C219" s="202"/>
      <c r="D219" s="203"/>
      <c r="E219" s="110" t="s">
        <v>475</v>
      </c>
      <c r="F219" s="114">
        <v>722400</v>
      </c>
      <c r="G219" s="25">
        <f>-200000-520000</f>
        <v>-720000</v>
      </c>
      <c r="H219" s="33">
        <f t="shared" si="1"/>
        <v>2400</v>
      </c>
    </row>
    <row r="220" spans="1:17" ht="21" x14ac:dyDescent="0.2">
      <c r="A220" s="202"/>
      <c r="B220" s="202"/>
      <c r="C220" s="202"/>
      <c r="D220" s="203"/>
      <c r="E220" s="112" t="s">
        <v>171</v>
      </c>
      <c r="F220" s="114"/>
      <c r="G220" s="25">
        <f>240000</f>
        <v>240000</v>
      </c>
      <c r="H220" s="33">
        <f t="shared" si="1"/>
        <v>240000</v>
      </c>
    </row>
    <row r="221" spans="1:17" ht="21" x14ac:dyDescent="0.2">
      <c r="A221" s="202"/>
      <c r="B221" s="202"/>
      <c r="C221" s="202"/>
      <c r="D221" s="203"/>
      <c r="E221" s="112" t="s">
        <v>62</v>
      </c>
      <c r="F221" s="114">
        <v>2249880</v>
      </c>
      <c r="G221" s="25"/>
      <c r="H221" s="33">
        <f t="shared" si="1"/>
        <v>2249880</v>
      </c>
    </row>
    <row r="222" spans="1:17" ht="21" x14ac:dyDescent="0.2">
      <c r="A222" s="202"/>
      <c r="B222" s="202"/>
      <c r="C222" s="202"/>
      <c r="D222" s="203"/>
      <c r="E222" s="175" t="s">
        <v>115</v>
      </c>
      <c r="F222" s="114">
        <v>80000</v>
      </c>
      <c r="G222" s="25"/>
      <c r="H222" s="33">
        <f t="shared" si="1"/>
        <v>80000</v>
      </c>
    </row>
    <row r="223" spans="1:17" ht="21" x14ac:dyDescent="0.2">
      <c r="A223" s="202"/>
      <c r="B223" s="202"/>
      <c r="C223" s="202"/>
      <c r="D223" s="203"/>
      <c r="E223" s="175" t="s">
        <v>125</v>
      </c>
      <c r="F223" s="114">
        <v>21500</v>
      </c>
      <c r="G223" s="25"/>
      <c r="H223" s="33">
        <f t="shared" si="1"/>
        <v>21500</v>
      </c>
    </row>
    <row r="224" spans="1:17" ht="56.25" x14ac:dyDescent="0.2">
      <c r="A224" s="202"/>
      <c r="B224" s="202"/>
      <c r="C224" s="202"/>
      <c r="D224" s="203"/>
      <c r="E224" s="113" t="s">
        <v>684</v>
      </c>
      <c r="F224" s="114">
        <v>1180000</v>
      </c>
      <c r="G224" s="25"/>
      <c r="H224" s="33">
        <f t="shared" si="1"/>
        <v>1180000</v>
      </c>
    </row>
    <row r="225" spans="1:11" ht="56.25" x14ac:dyDescent="0.2">
      <c r="A225" s="202"/>
      <c r="B225" s="202"/>
      <c r="C225" s="202"/>
      <c r="D225" s="203"/>
      <c r="E225" s="34" t="s">
        <v>442</v>
      </c>
      <c r="F225" s="114">
        <v>17360000</v>
      </c>
      <c r="G225" s="25"/>
      <c r="H225" s="33">
        <f t="shared" si="1"/>
        <v>17360000</v>
      </c>
    </row>
    <row r="226" spans="1:11" ht="56.25" x14ac:dyDescent="0.2">
      <c r="A226" s="202"/>
      <c r="B226" s="202"/>
      <c r="C226" s="202"/>
      <c r="D226" s="203"/>
      <c r="E226" s="175" t="s">
        <v>83</v>
      </c>
      <c r="F226" s="114">
        <v>13000000</v>
      </c>
      <c r="G226" s="25"/>
      <c r="H226" s="33">
        <f t="shared" si="1"/>
        <v>13000000</v>
      </c>
    </row>
    <row r="227" spans="1:11" ht="37.5" x14ac:dyDescent="0.2">
      <c r="A227" s="202"/>
      <c r="B227" s="202"/>
      <c r="C227" s="202"/>
      <c r="D227" s="203"/>
      <c r="E227" s="198" t="s">
        <v>661</v>
      </c>
      <c r="F227" s="114">
        <v>995500</v>
      </c>
      <c r="G227" s="25">
        <f>-21-99436</f>
        <v>-99457</v>
      </c>
      <c r="H227" s="33">
        <f t="shared" si="1"/>
        <v>896043</v>
      </c>
    </row>
    <row r="228" spans="1:11" ht="37.5" x14ac:dyDescent="0.2">
      <c r="A228" s="202"/>
      <c r="B228" s="202"/>
      <c r="C228" s="202"/>
      <c r="D228" s="203"/>
      <c r="E228" s="73" t="s">
        <v>735</v>
      </c>
      <c r="F228" s="114">
        <v>270453</v>
      </c>
      <c r="G228" s="25"/>
      <c r="H228" s="33">
        <f t="shared" si="1"/>
        <v>270453</v>
      </c>
    </row>
    <row r="229" spans="1:11" ht="21" x14ac:dyDescent="0.2">
      <c r="A229" s="202"/>
      <c r="B229" s="202"/>
      <c r="C229" s="202"/>
      <c r="D229" s="203"/>
      <c r="E229" s="73" t="s">
        <v>64</v>
      </c>
      <c r="F229" s="114">
        <v>25660</v>
      </c>
      <c r="G229" s="25">
        <f>23495+30700</f>
        <v>54195</v>
      </c>
      <c r="H229" s="33">
        <f t="shared" si="1"/>
        <v>79855</v>
      </c>
    </row>
    <row r="230" spans="1:11" ht="93.75" x14ac:dyDescent="0.2">
      <c r="A230" s="26" t="s">
        <v>31</v>
      </c>
      <c r="B230" s="26" t="s">
        <v>501</v>
      </c>
      <c r="C230" s="26" t="s">
        <v>502</v>
      </c>
      <c r="D230" s="39" t="s">
        <v>503</v>
      </c>
      <c r="E230" s="34"/>
      <c r="F230" s="114">
        <f>SUM(F231:F232)</f>
        <v>550000</v>
      </c>
      <c r="G230" s="114">
        <f>SUM(G231:G232)</f>
        <v>6000</v>
      </c>
      <c r="H230" s="30">
        <f t="shared" si="1"/>
        <v>556000</v>
      </c>
    </row>
    <row r="231" spans="1:11" ht="21" x14ac:dyDescent="0.2">
      <c r="A231" s="202"/>
      <c r="B231" s="202"/>
      <c r="C231" s="202"/>
      <c r="D231" s="203"/>
      <c r="E231" s="110" t="s">
        <v>436</v>
      </c>
      <c r="F231" s="25">
        <f>550000</f>
        <v>550000</v>
      </c>
      <c r="G231" s="25"/>
      <c r="H231" s="33">
        <f t="shared" si="1"/>
        <v>550000</v>
      </c>
    </row>
    <row r="232" spans="1:11" ht="21" x14ac:dyDescent="0.2">
      <c r="A232" s="202"/>
      <c r="B232" s="202"/>
      <c r="C232" s="202"/>
      <c r="D232" s="203"/>
      <c r="E232" s="112" t="s">
        <v>171</v>
      </c>
      <c r="F232" s="114"/>
      <c r="G232" s="25">
        <f>6000</f>
        <v>6000</v>
      </c>
      <c r="H232" s="33">
        <f>F232+G232</f>
        <v>6000</v>
      </c>
    </row>
    <row r="233" spans="1:11" ht="37.5" x14ac:dyDescent="0.2">
      <c r="A233" s="26" t="s">
        <v>570</v>
      </c>
      <c r="B233" s="26" t="s">
        <v>571</v>
      </c>
      <c r="C233" s="26" t="s">
        <v>413</v>
      </c>
      <c r="D233" s="39" t="s">
        <v>572</v>
      </c>
      <c r="E233" s="74"/>
      <c r="F233" s="30">
        <f>SUM(F234:F236)</f>
        <v>919000</v>
      </c>
      <c r="G233" s="30">
        <f>SUM(G234:G236)</f>
        <v>0</v>
      </c>
      <c r="H233" s="30">
        <f t="shared" si="1"/>
        <v>919000</v>
      </c>
    </row>
    <row r="234" spans="1:11" ht="19.5" x14ac:dyDescent="0.2">
      <c r="A234" s="76"/>
      <c r="B234" s="76"/>
      <c r="C234" s="76"/>
      <c r="D234" s="77"/>
      <c r="E234" s="34" t="s">
        <v>630</v>
      </c>
      <c r="F234" s="114">
        <f>514000-420000</f>
        <v>94000</v>
      </c>
      <c r="G234" s="13"/>
      <c r="H234" s="33">
        <f t="shared" si="1"/>
        <v>94000</v>
      </c>
    </row>
    <row r="235" spans="1:11" ht="19.5" x14ac:dyDescent="0.2">
      <c r="A235" s="76"/>
      <c r="B235" s="76"/>
      <c r="C235" s="76"/>
      <c r="D235" s="77"/>
      <c r="E235" s="110" t="s">
        <v>436</v>
      </c>
      <c r="F235" s="33">
        <f>800000</f>
        <v>800000</v>
      </c>
      <c r="G235" s="33"/>
      <c r="H235" s="33">
        <f t="shared" si="1"/>
        <v>800000</v>
      </c>
    </row>
    <row r="236" spans="1:11" ht="37.5" x14ac:dyDescent="0.2">
      <c r="A236" s="76"/>
      <c r="B236" s="76"/>
      <c r="C236" s="76"/>
      <c r="D236" s="77"/>
      <c r="E236" s="73" t="s">
        <v>735</v>
      </c>
      <c r="F236" s="114">
        <v>25000</v>
      </c>
      <c r="G236" s="33"/>
      <c r="H236" s="33">
        <f t="shared" si="1"/>
        <v>25000</v>
      </c>
    </row>
    <row r="237" spans="1:11" x14ac:dyDescent="0.2">
      <c r="A237" s="26" t="s">
        <v>117</v>
      </c>
      <c r="B237" s="26" t="s">
        <v>118</v>
      </c>
      <c r="C237" s="26" t="s">
        <v>720</v>
      </c>
      <c r="D237" s="39" t="s">
        <v>119</v>
      </c>
      <c r="E237" s="73"/>
      <c r="F237" s="29">
        <f>SUM(F238:F238)</f>
        <v>50000</v>
      </c>
      <c r="G237" s="29">
        <f>SUM(G238:G238)</f>
        <v>0</v>
      </c>
      <c r="H237" s="30">
        <f>F237+G237</f>
        <v>50000</v>
      </c>
    </row>
    <row r="238" spans="1:11" ht="19.5" x14ac:dyDescent="0.2">
      <c r="A238" s="76"/>
      <c r="B238" s="76"/>
      <c r="C238" s="76"/>
      <c r="D238" s="77"/>
      <c r="E238" s="183" t="s">
        <v>116</v>
      </c>
      <c r="F238" s="33">
        <f>50000</f>
        <v>50000</v>
      </c>
      <c r="G238" s="33"/>
      <c r="H238" s="33">
        <f t="shared" si="1"/>
        <v>50000</v>
      </c>
    </row>
    <row r="239" spans="1:11" s="82" customFormat="1" x14ac:dyDescent="0.2">
      <c r="A239" s="223" t="s">
        <v>718</v>
      </c>
      <c r="B239" s="49" t="s">
        <v>719</v>
      </c>
      <c r="C239" s="49" t="s">
        <v>720</v>
      </c>
      <c r="D239" s="224" t="s">
        <v>721</v>
      </c>
      <c r="E239" s="115"/>
      <c r="F239" s="30">
        <f>SUM(F240)</f>
        <v>0</v>
      </c>
      <c r="G239" s="30">
        <f>SUM(G240)</f>
        <v>11000</v>
      </c>
      <c r="H239" s="30">
        <f>F239+G239</f>
        <v>11000</v>
      </c>
      <c r="J239" s="83"/>
      <c r="K239" s="83"/>
    </row>
    <row r="240" spans="1:11" x14ac:dyDescent="0.2">
      <c r="A240" s="223"/>
      <c r="B240" s="49"/>
      <c r="C240" s="49"/>
      <c r="D240" s="224"/>
      <c r="E240" s="186" t="s">
        <v>436</v>
      </c>
      <c r="F240" s="33"/>
      <c r="G240" s="33">
        <f>11000</f>
        <v>11000</v>
      </c>
      <c r="H240" s="33">
        <f>F240+G240</f>
        <v>11000</v>
      </c>
    </row>
    <row r="241" spans="1:18" s="82" customFormat="1" ht="19.149999999999999" customHeight="1" x14ac:dyDescent="0.2">
      <c r="A241" s="116" t="s">
        <v>77</v>
      </c>
      <c r="B241" s="26" t="s">
        <v>78</v>
      </c>
      <c r="C241" s="26" t="s">
        <v>720</v>
      </c>
      <c r="D241" s="117" t="s">
        <v>79</v>
      </c>
      <c r="E241" s="115"/>
      <c r="F241" s="118">
        <f>SUM(F242:F243)</f>
        <v>274228</v>
      </c>
      <c r="G241" s="118">
        <f>SUM(G242:G243)</f>
        <v>-12</v>
      </c>
      <c r="H241" s="30">
        <f>F241+G241</f>
        <v>274216</v>
      </c>
      <c r="J241" s="83"/>
      <c r="K241" s="83"/>
    </row>
    <row r="242" spans="1:18" s="82" customFormat="1" ht="37.5" x14ac:dyDescent="0.2">
      <c r="A242" s="199"/>
      <c r="B242" s="26"/>
      <c r="C242" s="26"/>
      <c r="D242" s="117"/>
      <c r="E242" s="115" t="s">
        <v>661</v>
      </c>
      <c r="F242" s="118">
        <v>250000</v>
      </c>
      <c r="G242" s="118">
        <f>-12</f>
        <v>-12</v>
      </c>
      <c r="H242" s="33">
        <f>F242+G242</f>
        <v>249988</v>
      </c>
      <c r="J242" s="83"/>
      <c r="K242" s="83"/>
    </row>
    <row r="243" spans="1:18" s="5" customFormat="1" ht="37.5" x14ac:dyDescent="0.2">
      <c r="A243" s="49"/>
      <c r="B243" s="49"/>
      <c r="C243" s="49"/>
      <c r="D243" s="50"/>
      <c r="E243" s="73" t="s">
        <v>735</v>
      </c>
      <c r="F243" s="114">
        <v>24228</v>
      </c>
      <c r="G243" s="33"/>
      <c r="H243" s="33">
        <f>F243+G243</f>
        <v>24228</v>
      </c>
      <c r="J243" s="6"/>
      <c r="K243" s="6"/>
    </row>
    <row r="244" spans="1:18" x14ac:dyDescent="0.2">
      <c r="A244" s="49" t="s">
        <v>573</v>
      </c>
      <c r="B244" s="49" t="s">
        <v>574</v>
      </c>
      <c r="C244" s="49" t="s">
        <v>575</v>
      </c>
      <c r="D244" s="50" t="s">
        <v>576</v>
      </c>
      <c r="E244" s="115"/>
      <c r="F244" s="30">
        <f>SUM(F245:F246)</f>
        <v>940000</v>
      </c>
      <c r="G244" s="30">
        <f>SUM(G245:G246)</f>
        <v>0</v>
      </c>
      <c r="H244" s="30">
        <f t="shared" si="1"/>
        <v>940000</v>
      </c>
    </row>
    <row r="245" spans="1:18" x14ac:dyDescent="0.2">
      <c r="A245" s="26"/>
      <c r="B245" s="26"/>
      <c r="C245" s="26"/>
      <c r="D245" s="39"/>
      <c r="E245" s="34" t="s">
        <v>33</v>
      </c>
      <c r="F245" s="114">
        <v>40000</v>
      </c>
      <c r="G245" s="33"/>
      <c r="H245" s="33">
        <f t="shared" si="1"/>
        <v>40000</v>
      </c>
    </row>
    <row r="246" spans="1:18" x14ac:dyDescent="0.2">
      <c r="A246" s="26"/>
      <c r="B246" s="26"/>
      <c r="C246" s="26"/>
      <c r="D246" s="39"/>
      <c r="E246" s="110" t="s">
        <v>436</v>
      </c>
      <c r="F246" s="114">
        <v>900000</v>
      </c>
      <c r="G246" s="33"/>
      <c r="H246" s="33">
        <f t="shared" si="1"/>
        <v>900000</v>
      </c>
    </row>
    <row r="247" spans="1:18" s="5" customFormat="1" ht="37.5" x14ac:dyDescent="0.2">
      <c r="A247" s="49" t="s">
        <v>577</v>
      </c>
      <c r="B247" s="49" t="s">
        <v>578</v>
      </c>
      <c r="C247" s="49" t="s">
        <v>273</v>
      </c>
      <c r="D247" s="50" t="s">
        <v>579</v>
      </c>
      <c r="E247" s="115"/>
      <c r="F247" s="30">
        <f>SUM(F248:F249)</f>
        <v>1286000</v>
      </c>
      <c r="G247" s="30">
        <f>SUM(G248:G249)</f>
        <v>-151433</v>
      </c>
      <c r="H247" s="30">
        <f t="shared" si="1"/>
        <v>1134567</v>
      </c>
      <c r="J247" s="6"/>
      <c r="K247" s="6"/>
    </row>
    <row r="248" spans="1:18" s="5" customFormat="1" x14ac:dyDescent="0.2">
      <c r="A248" s="49"/>
      <c r="B248" s="49"/>
      <c r="C248" s="49"/>
      <c r="D248" s="50"/>
      <c r="E248" s="34" t="s">
        <v>630</v>
      </c>
      <c r="F248" s="114">
        <v>236000</v>
      </c>
      <c r="G248" s="33"/>
      <c r="H248" s="33">
        <f t="shared" si="1"/>
        <v>236000</v>
      </c>
      <c r="J248" s="6"/>
      <c r="K248" s="6"/>
    </row>
    <row r="249" spans="1:18" s="5" customFormat="1" x14ac:dyDescent="0.2">
      <c r="A249" s="54"/>
      <c r="B249" s="54"/>
      <c r="C249" s="54"/>
      <c r="D249" s="225"/>
      <c r="E249" s="204" t="s">
        <v>436</v>
      </c>
      <c r="F249" s="33">
        <f>1050000</f>
        <v>1050000</v>
      </c>
      <c r="G249" s="33">
        <f>-151433</f>
        <v>-151433</v>
      </c>
      <c r="H249" s="33">
        <f t="shared" si="1"/>
        <v>898567</v>
      </c>
      <c r="J249" s="6"/>
      <c r="K249" s="6"/>
    </row>
    <row r="250" spans="1:18" s="68" customFormat="1" x14ac:dyDescent="0.2">
      <c r="A250" s="47" t="s">
        <v>315</v>
      </c>
      <c r="B250" s="47"/>
      <c r="C250" s="47"/>
      <c r="D250" s="47" t="s">
        <v>256</v>
      </c>
      <c r="E250" s="79"/>
      <c r="F250" s="80">
        <f>F252+F257+F259</f>
        <v>22533500</v>
      </c>
      <c r="G250" s="80">
        <f>G252+G257+G259</f>
        <v>-3355478</v>
      </c>
      <c r="H250" s="13">
        <f t="shared" si="1"/>
        <v>19178022</v>
      </c>
      <c r="I250" s="66"/>
      <c r="J250" s="67"/>
      <c r="K250" s="67"/>
      <c r="L250" s="66"/>
      <c r="M250" s="66"/>
      <c r="N250" s="66"/>
      <c r="O250" s="66"/>
      <c r="P250" s="66"/>
      <c r="Q250" s="66"/>
      <c r="R250" s="66"/>
    </row>
    <row r="251" spans="1:18" s="16" customFormat="1" x14ac:dyDescent="0.2">
      <c r="A251" s="47" t="s">
        <v>316</v>
      </c>
      <c r="B251" s="47"/>
      <c r="C251" s="47"/>
      <c r="D251" s="48" t="s">
        <v>256</v>
      </c>
      <c r="E251" s="79"/>
      <c r="F251" s="22"/>
      <c r="G251" s="33"/>
      <c r="H251" s="33">
        <f t="shared" si="1"/>
        <v>0</v>
      </c>
      <c r="I251" s="14"/>
      <c r="J251" s="15"/>
      <c r="K251" s="15"/>
      <c r="L251" s="14"/>
      <c r="M251" s="14"/>
      <c r="N251" s="14"/>
      <c r="O251" s="14"/>
      <c r="P251" s="14"/>
      <c r="Q251" s="14"/>
      <c r="R251" s="14"/>
    </row>
    <row r="252" spans="1:18" ht="37.5" x14ac:dyDescent="0.2">
      <c r="A252" s="49" t="s">
        <v>319</v>
      </c>
      <c r="B252" s="49" t="s">
        <v>259</v>
      </c>
      <c r="C252" s="49" t="s">
        <v>260</v>
      </c>
      <c r="D252" s="50" t="s">
        <v>261</v>
      </c>
      <c r="E252" s="31"/>
      <c r="F252" s="29">
        <f>SUM(F253:F256)</f>
        <v>16579919</v>
      </c>
      <c r="G252" s="29">
        <f>SUM(G253:G256)</f>
        <v>-3710887</v>
      </c>
      <c r="H252" s="30">
        <f>F252+G252</f>
        <v>12869032</v>
      </c>
    </row>
    <row r="253" spans="1:18" s="5" customFormat="1" ht="37.5" x14ac:dyDescent="0.2">
      <c r="A253" s="85"/>
      <c r="B253" s="85"/>
      <c r="C253" s="85"/>
      <c r="D253" s="31"/>
      <c r="E253" s="186" t="s">
        <v>122</v>
      </c>
      <c r="F253" s="114">
        <v>29500</v>
      </c>
      <c r="G253" s="33"/>
      <c r="H253" s="33">
        <f>F253+G253</f>
        <v>29500</v>
      </c>
      <c r="J253" s="6"/>
      <c r="K253" s="6"/>
    </row>
    <row r="254" spans="1:18" s="5" customFormat="1" x14ac:dyDescent="0.2">
      <c r="A254" s="85"/>
      <c r="B254" s="85"/>
      <c r="C254" s="85"/>
      <c r="D254" s="31"/>
      <c r="E254" s="110" t="s">
        <v>437</v>
      </c>
      <c r="F254" s="114">
        <v>16508419</v>
      </c>
      <c r="G254" s="33">
        <f>-145887-2450000-1750000+600000</f>
        <v>-3745887</v>
      </c>
      <c r="H254" s="33">
        <f t="shared" si="1"/>
        <v>12762532</v>
      </c>
      <c r="J254" s="6"/>
      <c r="K254" s="6"/>
    </row>
    <row r="255" spans="1:18" s="5" customFormat="1" x14ac:dyDescent="0.2">
      <c r="A255" s="85"/>
      <c r="B255" s="85"/>
      <c r="C255" s="85"/>
      <c r="D255" s="31"/>
      <c r="E255" s="73" t="s">
        <v>64</v>
      </c>
      <c r="F255" s="114"/>
      <c r="G255" s="33">
        <f>33000+2000</f>
        <v>35000</v>
      </c>
      <c r="H255" s="33">
        <f t="shared" si="1"/>
        <v>35000</v>
      </c>
      <c r="J255" s="6"/>
      <c r="K255" s="6"/>
    </row>
    <row r="256" spans="1:18" s="5" customFormat="1" ht="37.5" x14ac:dyDescent="0.2">
      <c r="A256" s="85"/>
      <c r="B256" s="85"/>
      <c r="C256" s="85"/>
      <c r="D256" s="31"/>
      <c r="E256" s="115" t="s">
        <v>661</v>
      </c>
      <c r="F256" s="114">
        <v>42000</v>
      </c>
      <c r="G256" s="33"/>
      <c r="H256" s="33">
        <f>F256+G256</f>
        <v>42000</v>
      </c>
      <c r="J256" s="6"/>
      <c r="K256" s="6"/>
    </row>
    <row r="257" spans="1:18" ht="37.5" x14ac:dyDescent="0.2">
      <c r="A257" s="49" t="s">
        <v>476</v>
      </c>
      <c r="B257" s="49" t="s">
        <v>320</v>
      </c>
      <c r="C257" s="49" t="s">
        <v>262</v>
      </c>
      <c r="D257" s="50" t="s">
        <v>263</v>
      </c>
      <c r="E257" s="31"/>
      <c r="F257" s="29">
        <f>SUM(F258)</f>
        <v>3380200</v>
      </c>
      <c r="G257" s="29">
        <f>SUM(G258)</f>
        <v>608500</v>
      </c>
      <c r="H257" s="30">
        <f t="shared" si="1"/>
        <v>3988700</v>
      </c>
    </row>
    <row r="258" spans="1:18" s="5" customFormat="1" x14ac:dyDescent="0.2">
      <c r="A258" s="24"/>
      <c r="B258" s="24"/>
      <c r="C258" s="24"/>
      <c r="D258" s="44"/>
      <c r="E258" s="186" t="s">
        <v>114</v>
      </c>
      <c r="F258" s="33">
        <f>380200+3000000</f>
        <v>3380200</v>
      </c>
      <c r="G258" s="33">
        <f>608500</f>
        <v>608500</v>
      </c>
      <c r="H258" s="33">
        <f t="shared" si="1"/>
        <v>3988700</v>
      </c>
      <c r="J258" s="6"/>
      <c r="K258" s="6"/>
    </row>
    <row r="259" spans="1:18" ht="37.5" x14ac:dyDescent="0.2">
      <c r="A259" s="49" t="s">
        <v>477</v>
      </c>
      <c r="B259" s="49" t="s">
        <v>321</v>
      </c>
      <c r="C259" s="49" t="s">
        <v>264</v>
      </c>
      <c r="D259" s="50" t="s">
        <v>373</v>
      </c>
      <c r="E259" s="31"/>
      <c r="F259" s="29">
        <f>SUM(F260:F261)</f>
        <v>2573381</v>
      </c>
      <c r="G259" s="29">
        <f>SUM(G260:G261)</f>
        <v>-253091</v>
      </c>
      <c r="H259" s="30">
        <f t="shared" si="1"/>
        <v>2320290</v>
      </c>
    </row>
    <row r="260" spans="1:18" s="5" customFormat="1" x14ac:dyDescent="0.2">
      <c r="A260" s="119"/>
      <c r="B260" s="119"/>
      <c r="C260" s="119"/>
      <c r="D260" s="120"/>
      <c r="E260" s="34" t="s">
        <v>30</v>
      </c>
      <c r="F260" s="33">
        <f>1661081+580300+320000</f>
        <v>2561381</v>
      </c>
      <c r="G260" s="33">
        <f>-303081</f>
        <v>-303081</v>
      </c>
      <c r="H260" s="33">
        <f t="shared" si="1"/>
        <v>2258300</v>
      </c>
      <c r="J260" s="6"/>
      <c r="K260" s="6"/>
    </row>
    <row r="261" spans="1:18" ht="21" x14ac:dyDescent="0.2">
      <c r="A261" s="202"/>
      <c r="B261" s="202"/>
      <c r="C261" s="202"/>
      <c r="D261" s="203"/>
      <c r="E261" s="73" t="s">
        <v>64</v>
      </c>
      <c r="F261" s="25">
        <v>12000</v>
      </c>
      <c r="G261" s="25">
        <f>49990</f>
        <v>49990</v>
      </c>
      <c r="H261" s="33">
        <f>F261+G261</f>
        <v>61990</v>
      </c>
    </row>
    <row r="262" spans="1:18" s="53" customFormat="1" ht="51.75" customHeight="1" x14ac:dyDescent="0.2">
      <c r="A262" s="20" t="s">
        <v>322</v>
      </c>
      <c r="B262" s="20"/>
      <c r="C262" s="20"/>
      <c r="D262" s="20" t="s">
        <v>277</v>
      </c>
      <c r="E262" s="40"/>
      <c r="F262" s="13">
        <f>F264+F268+F270+F274+F272</f>
        <v>1980000</v>
      </c>
      <c r="G262" s="13">
        <f>G264+G268+G270+G274+G272</f>
        <v>12800</v>
      </c>
      <c r="H262" s="13">
        <f t="shared" si="1"/>
        <v>1992800</v>
      </c>
      <c r="I262" s="64"/>
      <c r="J262" s="64"/>
      <c r="K262" s="64"/>
      <c r="L262" s="64"/>
      <c r="M262" s="64"/>
      <c r="N262" s="64"/>
      <c r="O262" s="64"/>
      <c r="P262" s="64"/>
      <c r="Q262" s="64"/>
      <c r="R262" s="64"/>
    </row>
    <row r="263" spans="1:18" s="53" customFormat="1" ht="45.75" customHeight="1" x14ac:dyDescent="0.2">
      <c r="A263" s="20" t="s">
        <v>323</v>
      </c>
      <c r="B263" s="20"/>
      <c r="C263" s="20"/>
      <c r="D263" s="23" t="s">
        <v>277</v>
      </c>
      <c r="E263" s="40"/>
      <c r="F263" s="13"/>
      <c r="G263" s="33"/>
      <c r="H263" s="33">
        <f t="shared" si="1"/>
        <v>0</v>
      </c>
      <c r="I263" s="64"/>
      <c r="J263" s="64"/>
      <c r="K263" s="64"/>
      <c r="L263" s="64"/>
      <c r="M263" s="64"/>
      <c r="N263" s="64"/>
      <c r="O263" s="64"/>
      <c r="P263" s="64"/>
      <c r="Q263" s="64"/>
      <c r="R263" s="64"/>
    </row>
    <row r="264" spans="1:18" s="91" customFormat="1" ht="56.25" x14ac:dyDescent="0.2">
      <c r="A264" s="26" t="s">
        <v>324</v>
      </c>
      <c r="B264" s="49" t="s">
        <v>317</v>
      </c>
      <c r="C264" s="49" t="s">
        <v>258</v>
      </c>
      <c r="D264" s="50" t="s">
        <v>318</v>
      </c>
      <c r="E264" s="74"/>
      <c r="F264" s="30">
        <f>SUM(F265:F267)</f>
        <v>740000</v>
      </c>
      <c r="G264" s="30">
        <f>SUM(G265:G267)</f>
        <v>0</v>
      </c>
      <c r="H264" s="30">
        <f t="shared" si="1"/>
        <v>740000</v>
      </c>
      <c r="I264" s="87"/>
      <c r="J264" s="87"/>
      <c r="K264" s="87"/>
      <c r="L264" s="87"/>
      <c r="M264" s="87"/>
      <c r="N264" s="87"/>
      <c r="O264" s="87"/>
      <c r="P264" s="87"/>
      <c r="Q264" s="87"/>
      <c r="R264" s="87"/>
    </row>
    <row r="265" spans="1:18" s="5" customFormat="1" x14ac:dyDescent="0.2">
      <c r="A265" s="24"/>
      <c r="B265" s="119"/>
      <c r="C265" s="119"/>
      <c r="D265" s="121"/>
      <c r="E265" s="34" t="s">
        <v>383</v>
      </c>
      <c r="F265" s="33">
        <v>250000</v>
      </c>
      <c r="G265" s="33"/>
      <c r="H265" s="33">
        <f t="shared" si="1"/>
        <v>250000</v>
      </c>
      <c r="J265" s="6"/>
      <c r="K265" s="6"/>
    </row>
    <row r="266" spans="1:18" s="5" customFormat="1" ht="37.5" x14ac:dyDescent="0.2">
      <c r="A266" s="24"/>
      <c r="B266" s="119"/>
      <c r="C266" s="119"/>
      <c r="D266" s="121"/>
      <c r="E266" s="34" t="s">
        <v>453</v>
      </c>
      <c r="F266" s="33">
        <v>300000</v>
      </c>
      <c r="G266" s="33"/>
      <c r="H266" s="33">
        <f t="shared" si="1"/>
        <v>300000</v>
      </c>
      <c r="J266" s="6"/>
      <c r="K266" s="6"/>
    </row>
    <row r="267" spans="1:18" s="5" customFormat="1" x14ac:dyDescent="0.2">
      <c r="A267" s="24"/>
      <c r="B267" s="119"/>
      <c r="C267" s="119"/>
      <c r="D267" s="121"/>
      <c r="E267" s="34" t="s">
        <v>418</v>
      </c>
      <c r="F267" s="33">
        <v>190000</v>
      </c>
      <c r="G267" s="33"/>
      <c r="H267" s="33">
        <f t="shared" si="1"/>
        <v>190000</v>
      </c>
      <c r="J267" s="6"/>
      <c r="K267" s="6"/>
    </row>
    <row r="268" spans="1:18" s="123" customFormat="1" ht="53.25" customHeight="1" x14ac:dyDescent="0.2">
      <c r="A268" s="26" t="s">
        <v>325</v>
      </c>
      <c r="B268" s="26" t="s">
        <v>290</v>
      </c>
      <c r="C268" s="26" t="s">
        <v>291</v>
      </c>
      <c r="D268" s="39" t="s">
        <v>301</v>
      </c>
      <c r="E268" s="75"/>
      <c r="F268" s="30">
        <f>SUM(F269)</f>
        <v>150000</v>
      </c>
      <c r="G268" s="30">
        <f>SUM(G269)</f>
        <v>0</v>
      </c>
      <c r="H268" s="30">
        <f t="shared" si="1"/>
        <v>150000</v>
      </c>
      <c r="I268" s="122"/>
      <c r="J268" s="87"/>
      <c r="K268" s="87"/>
      <c r="L268" s="122"/>
      <c r="M268" s="122"/>
      <c r="N268" s="122"/>
      <c r="O268" s="122"/>
      <c r="P268" s="122"/>
      <c r="Q268" s="122"/>
      <c r="R268" s="122"/>
    </row>
    <row r="269" spans="1:18" s="5" customFormat="1" ht="37.5" x14ac:dyDescent="0.2">
      <c r="A269" s="24"/>
      <c r="B269" s="119"/>
      <c r="C269" s="119"/>
      <c r="D269" s="121"/>
      <c r="E269" s="34" t="s">
        <v>426</v>
      </c>
      <c r="F269" s="33">
        <v>150000</v>
      </c>
      <c r="G269" s="33"/>
      <c r="H269" s="33">
        <f t="shared" si="1"/>
        <v>150000</v>
      </c>
      <c r="J269" s="6"/>
      <c r="K269" s="6"/>
    </row>
    <row r="270" spans="1:18" s="5" customFormat="1" ht="75" x14ac:dyDescent="0.2">
      <c r="A270" s="26" t="s">
        <v>454</v>
      </c>
      <c r="B270" s="26" t="s">
        <v>455</v>
      </c>
      <c r="C270" s="26" t="s">
        <v>271</v>
      </c>
      <c r="D270" s="39" t="s">
        <v>456</v>
      </c>
      <c r="E270" s="34"/>
      <c r="F270" s="30">
        <f>SUM(F271:F271)</f>
        <v>840000</v>
      </c>
      <c r="G270" s="30">
        <f>SUM(G271:G271)</f>
        <v>0</v>
      </c>
      <c r="H270" s="30">
        <f t="shared" si="1"/>
        <v>840000</v>
      </c>
      <c r="J270" s="6"/>
      <c r="K270" s="6"/>
    </row>
    <row r="271" spans="1:18" s="5" customFormat="1" ht="37.5" x14ac:dyDescent="0.2">
      <c r="A271" s="24"/>
      <c r="B271" s="119"/>
      <c r="C271" s="119"/>
      <c r="D271" s="121"/>
      <c r="E271" s="34" t="s">
        <v>635</v>
      </c>
      <c r="F271" s="33">
        <v>840000</v>
      </c>
      <c r="G271" s="33"/>
      <c r="H271" s="33">
        <f t="shared" si="1"/>
        <v>840000</v>
      </c>
      <c r="J271" s="6"/>
      <c r="K271" s="6"/>
    </row>
    <row r="272" spans="1:18" s="82" customFormat="1" ht="37.5" x14ac:dyDescent="0.2">
      <c r="A272" s="105" t="s">
        <v>206</v>
      </c>
      <c r="B272" s="124" t="s">
        <v>207</v>
      </c>
      <c r="C272" s="124" t="s">
        <v>575</v>
      </c>
      <c r="D272" s="125" t="s">
        <v>208</v>
      </c>
      <c r="E272" s="75"/>
      <c r="F272" s="30">
        <f>SUM(F273:F273)</f>
        <v>0</v>
      </c>
      <c r="G272" s="30">
        <f>SUM(G273:G273)</f>
        <v>12800</v>
      </c>
      <c r="H272" s="227">
        <f>F272+G272</f>
        <v>12800</v>
      </c>
      <c r="J272" s="83"/>
      <c r="K272" s="83"/>
    </row>
    <row r="273" spans="1:18" s="5" customFormat="1" x14ac:dyDescent="0.2">
      <c r="A273" s="24"/>
      <c r="B273" s="119"/>
      <c r="C273" s="119"/>
      <c r="D273" s="121"/>
      <c r="E273" s="182" t="s">
        <v>445</v>
      </c>
      <c r="F273" s="33"/>
      <c r="G273" s="33">
        <f>12800</f>
        <v>12800</v>
      </c>
      <c r="H273" s="189">
        <f t="shared" si="1"/>
        <v>12800</v>
      </c>
      <c r="J273" s="6"/>
      <c r="K273" s="6"/>
    </row>
    <row r="274" spans="1:18" s="82" customFormat="1" ht="93.75" x14ac:dyDescent="0.2">
      <c r="A274" s="105" t="s">
        <v>54</v>
      </c>
      <c r="B274" s="124" t="s">
        <v>55</v>
      </c>
      <c r="C274" s="124" t="s">
        <v>431</v>
      </c>
      <c r="D274" s="125" t="s">
        <v>56</v>
      </c>
      <c r="E274" s="75"/>
      <c r="F274" s="30">
        <f>F275</f>
        <v>250000</v>
      </c>
      <c r="G274" s="30">
        <f>G275</f>
        <v>0</v>
      </c>
      <c r="H274" s="227">
        <f t="shared" si="1"/>
        <v>250000</v>
      </c>
      <c r="J274" s="83"/>
      <c r="K274" s="83"/>
    </row>
    <row r="275" spans="1:18" s="5" customFormat="1" x14ac:dyDescent="0.2">
      <c r="A275" s="24"/>
      <c r="B275" s="119"/>
      <c r="C275" s="119"/>
      <c r="D275" s="121"/>
      <c r="E275" s="34" t="s">
        <v>57</v>
      </c>
      <c r="F275" s="33">
        <f>250000</f>
        <v>250000</v>
      </c>
      <c r="G275" s="33"/>
      <c r="H275" s="189">
        <f t="shared" si="1"/>
        <v>250000</v>
      </c>
      <c r="J275" s="6"/>
      <c r="K275" s="6"/>
    </row>
    <row r="276" spans="1:18" s="5" customFormat="1" ht="37.5" x14ac:dyDescent="0.2">
      <c r="A276" s="20" t="s">
        <v>457</v>
      </c>
      <c r="B276" s="20"/>
      <c r="C276" s="20"/>
      <c r="D276" s="19" t="s">
        <v>458</v>
      </c>
      <c r="E276" s="74"/>
      <c r="F276" s="13">
        <f>F278</f>
        <v>43000</v>
      </c>
      <c r="G276" s="13">
        <f>G278</f>
        <v>15200</v>
      </c>
      <c r="H276" s="228">
        <f t="shared" si="1"/>
        <v>58200</v>
      </c>
      <c r="J276" s="6"/>
      <c r="K276" s="6"/>
    </row>
    <row r="277" spans="1:18" s="5" customFormat="1" ht="37.5" x14ac:dyDescent="0.2">
      <c r="A277" s="20" t="s">
        <v>459</v>
      </c>
      <c r="B277" s="20"/>
      <c r="C277" s="20"/>
      <c r="D277" s="36" t="s">
        <v>458</v>
      </c>
      <c r="E277" s="74"/>
      <c r="F277" s="33"/>
      <c r="G277" s="25"/>
      <c r="H277" s="189">
        <f t="shared" si="1"/>
        <v>0</v>
      </c>
      <c r="J277" s="6"/>
      <c r="K277" s="6"/>
    </row>
    <row r="278" spans="1:18" s="5" customFormat="1" ht="56.25" x14ac:dyDescent="0.2">
      <c r="A278" s="26" t="s">
        <v>460</v>
      </c>
      <c r="B278" s="49" t="s">
        <v>317</v>
      </c>
      <c r="C278" s="49" t="s">
        <v>258</v>
      </c>
      <c r="D278" s="50" t="s">
        <v>318</v>
      </c>
      <c r="E278" s="74"/>
      <c r="F278" s="30">
        <f>SUM(F279)</f>
        <v>43000</v>
      </c>
      <c r="G278" s="30">
        <f>SUM(G279)</f>
        <v>15200</v>
      </c>
      <c r="H278" s="227">
        <f t="shared" ref="H278:H401" si="3">F278+G278</f>
        <v>58200</v>
      </c>
      <c r="J278" s="6"/>
      <c r="K278" s="6"/>
    </row>
    <row r="279" spans="1:18" s="5" customFormat="1" x14ac:dyDescent="0.2">
      <c r="A279" s="89"/>
      <c r="B279" s="90"/>
      <c r="C279" s="90"/>
      <c r="D279" s="89"/>
      <c r="E279" s="126" t="s">
        <v>461</v>
      </c>
      <c r="F279" s="33">
        <f>43000</f>
        <v>43000</v>
      </c>
      <c r="G279" s="33">
        <f>15200</f>
        <v>15200</v>
      </c>
      <c r="H279" s="189">
        <f t="shared" si="3"/>
        <v>58200</v>
      </c>
      <c r="J279" s="6"/>
      <c r="K279" s="6"/>
    </row>
    <row r="280" spans="1:18" s="18" customFormat="1" ht="37.5" x14ac:dyDescent="0.2">
      <c r="A280" s="19">
        <v>1000000</v>
      </c>
      <c r="B280" s="20"/>
      <c r="C280" s="20"/>
      <c r="D280" s="20" t="s">
        <v>278</v>
      </c>
      <c r="E280" s="75"/>
      <c r="F280" s="13">
        <f>F284+F291+F289+F297+F282</f>
        <v>5276700</v>
      </c>
      <c r="G280" s="13">
        <f>G284+G291+G289+G297+G282</f>
        <v>92426</v>
      </c>
      <c r="H280" s="228">
        <f t="shared" si="3"/>
        <v>5369126</v>
      </c>
      <c r="I280" s="3"/>
      <c r="J280" s="17"/>
      <c r="K280" s="17"/>
      <c r="L280" s="3"/>
      <c r="M280" s="3"/>
      <c r="N280" s="3"/>
      <c r="O280" s="3"/>
      <c r="P280" s="3"/>
      <c r="Q280" s="3"/>
      <c r="R280" s="3"/>
    </row>
    <row r="281" spans="1:18" s="18" customFormat="1" ht="38.25" customHeight="1" x14ac:dyDescent="0.2">
      <c r="A281" s="19">
        <v>1010000</v>
      </c>
      <c r="B281" s="20"/>
      <c r="C281" s="20"/>
      <c r="D281" s="23" t="s">
        <v>278</v>
      </c>
      <c r="E281" s="75"/>
      <c r="F281" s="13"/>
      <c r="G281" s="33"/>
      <c r="H281" s="189">
        <f t="shared" si="3"/>
        <v>0</v>
      </c>
      <c r="I281" s="3"/>
      <c r="J281" s="17"/>
      <c r="K281" s="17"/>
      <c r="L281" s="3"/>
      <c r="M281" s="3"/>
      <c r="N281" s="3"/>
      <c r="O281" s="3"/>
      <c r="P281" s="3"/>
      <c r="Q281" s="3"/>
      <c r="R281" s="3"/>
    </row>
    <row r="282" spans="1:18" s="5" customFormat="1" ht="56.25" x14ac:dyDescent="0.2">
      <c r="A282" s="26" t="s">
        <v>164</v>
      </c>
      <c r="B282" s="49" t="s">
        <v>317</v>
      </c>
      <c r="C282" s="49" t="s">
        <v>258</v>
      </c>
      <c r="D282" s="50" t="s">
        <v>318</v>
      </c>
      <c r="E282" s="74"/>
      <c r="F282" s="30">
        <f>SUM(F283)</f>
        <v>0</v>
      </c>
      <c r="G282" s="30">
        <f>SUM(G283)</f>
        <v>79300</v>
      </c>
      <c r="H282" s="227">
        <f>F282+G282</f>
        <v>79300</v>
      </c>
      <c r="J282" s="6"/>
      <c r="K282" s="6"/>
    </row>
    <row r="283" spans="1:18" s="5" customFormat="1" x14ac:dyDescent="0.2">
      <c r="A283" s="89"/>
      <c r="B283" s="90"/>
      <c r="C283" s="90"/>
      <c r="D283" s="89"/>
      <c r="E283" s="181" t="s">
        <v>445</v>
      </c>
      <c r="F283" s="33"/>
      <c r="G283" s="33">
        <f>41900+37400</f>
        <v>79300</v>
      </c>
      <c r="H283" s="189">
        <f>F283+G283</f>
        <v>79300</v>
      </c>
      <c r="J283" s="6"/>
      <c r="K283" s="6"/>
    </row>
    <row r="284" spans="1:18" s="18" customFormat="1" ht="56.25" x14ac:dyDescent="0.2">
      <c r="A284" s="39">
        <v>1011100</v>
      </c>
      <c r="B284" s="26" t="s">
        <v>420</v>
      </c>
      <c r="C284" s="26" t="s">
        <v>413</v>
      </c>
      <c r="D284" s="26" t="s">
        <v>421</v>
      </c>
      <c r="E284" s="74"/>
      <c r="F284" s="30">
        <f>SUM(F285:F288)</f>
        <v>4390500</v>
      </c>
      <c r="G284" s="30">
        <f>SUM(G285:G288)</f>
        <v>0</v>
      </c>
      <c r="H284" s="227">
        <f t="shared" si="3"/>
        <v>4390500</v>
      </c>
      <c r="I284" s="3"/>
      <c r="J284" s="17"/>
      <c r="K284" s="17"/>
      <c r="L284" s="3"/>
      <c r="M284" s="3"/>
      <c r="N284" s="3"/>
      <c r="O284" s="3"/>
      <c r="P284" s="3"/>
      <c r="Q284" s="3"/>
      <c r="R284" s="3"/>
    </row>
    <row r="285" spans="1:18" s="18" customFormat="1" x14ac:dyDescent="0.2">
      <c r="A285" s="89"/>
      <c r="B285" s="90"/>
      <c r="C285" s="90"/>
      <c r="D285" s="90"/>
      <c r="E285" s="31" t="s">
        <v>28</v>
      </c>
      <c r="F285" s="33">
        <v>16500</v>
      </c>
      <c r="G285" s="33"/>
      <c r="H285" s="189">
        <f t="shared" si="3"/>
        <v>16500</v>
      </c>
      <c r="I285" s="3"/>
      <c r="J285" s="17"/>
      <c r="K285" s="17"/>
      <c r="L285" s="3"/>
      <c r="M285" s="3"/>
      <c r="N285" s="3"/>
      <c r="O285" s="3"/>
      <c r="P285" s="3"/>
      <c r="Q285" s="3"/>
      <c r="R285" s="3"/>
    </row>
    <row r="286" spans="1:18" s="18" customFormat="1" x14ac:dyDescent="0.2">
      <c r="A286" s="89"/>
      <c r="B286" s="90"/>
      <c r="C286" s="90"/>
      <c r="D286" s="89"/>
      <c r="E286" s="31" t="s">
        <v>438</v>
      </c>
      <c r="F286" s="33">
        <v>2130000</v>
      </c>
      <c r="G286" s="33"/>
      <c r="H286" s="189">
        <f t="shared" si="3"/>
        <v>2130000</v>
      </c>
      <c r="I286" s="3"/>
      <c r="J286" s="17"/>
      <c r="K286" s="17"/>
      <c r="L286" s="3"/>
      <c r="M286" s="3"/>
      <c r="N286" s="3"/>
      <c r="O286" s="3"/>
      <c r="P286" s="3"/>
      <c r="Q286" s="3"/>
      <c r="R286" s="3"/>
    </row>
    <row r="287" spans="1:18" s="18" customFormat="1" x14ac:dyDescent="0.2">
      <c r="A287" s="89"/>
      <c r="B287" s="90"/>
      <c r="C287" s="90"/>
      <c r="D287" s="89"/>
      <c r="E287" s="31" t="s">
        <v>26</v>
      </c>
      <c r="F287" s="33">
        <v>2220000</v>
      </c>
      <c r="G287" s="33"/>
      <c r="H287" s="189">
        <f t="shared" si="3"/>
        <v>2220000</v>
      </c>
      <c r="I287" s="3"/>
      <c r="J287" s="17"/>
      <c r="K287" s="17"/>
      <c r="L287" s="3"/>
      <c r="M287" s="3"/>
      <c r="N287" s="3"/>
      <c r="O287" s="3"/>
      <c r="P287" s="3"/>
      <c r="Q287" s="3"/>
      <c r="R287" s="3"/>
    </row>
    <row r="288" spans="1:18" s="18" customFormat="1" ht="37.5" x14ac:dyDescent="0.2">
      <c r="A288" s="89"/>
      <c r="B288" s="90"/>
      <c r="C288" s="90"/>
      <c r="D288" s="89"/>
      <c r="E288" s="73" t="s">
        <v>735</v>
      </c>
      <c r="F288" s="33">
        <v>24000</v>
      </c>
      <c r="G288" s="33"/>
      <c r="H288" s="189">
        <f t="shared" si="3"/>
        <v>24000</v>
      </c>
      <c r="I288" s="3"/>
      <c r="J288" s="17"/>
      <c r="K288" s="17"/>
      <c r="L288" s="3"/>
      <c r="M288" s="3"/>
      <c r="N288" s="3"/>
      <c r="O288" s="3"/>
      <c r="P288" s="3"/>
      <c r="Q288" s="3"/>
      <c r="R288" s="3"/>
    </row>
    <row r="289" spans="1:18" s="18" customFormat="1" x14ac:dyDescent="0.2">
      <c r="A289" s="127" t="s">
        <v>80</v>
      </c>
      <c r="B289" s="90" t="s">
        <v>698</v>
      </c>
      <c r="C289" s="90" t="s">
        <v>699</v>
      </c>
      <c r="D289" s="128" t="s">
        <v>81</v>
      </c>
      <c r="E289" s="73"/>
      <c r="F289" s="33">
        <f>SUM(F290)</f>
        <v>9000</v>
      </c>
      <c r="G289" s="33">
        <f>SUM(G290)</f>
        <v>0</v>
      </c>
      <c r="H289" s="227">
        <f t="shared" si="3"/>
        <v>9000</v>
      </c>
      <c r="I289" s="3"/>
      <c r="J289" s="17"/>
      <c r="K289" s="17"/>
      <c r="L289" s="3"/>
      <c r="M289" s="3"/>
      <c r="N289" s="3"/>
      <c r="O289" s="3"/>
      <c r="P289" s="3"/>
      <c r="Q289" s="3"/>
      <c r="R289" s="3"/>
    </row>
    <row r="290" spans="1:18" s="18" customFormat="1" ht="37.5" x14ac:dyDescent="0.2">
      <c r="A290" s="89"/>
      <c r="B290" s="90"/>
      <c r="C290" s="90"/>
      <c r="D290" s="89"/>
      <c r="E290" s="73" t="s">
        <v>735</v>
      </c>
      <c r="F290" s="33">
        <v>9000</v>
      </c>
      <c r="G290" s="33"/>
      <c r="H290" s="189">
        <f t="shared" si="3"/>
        <v>9000</v>
      </c>
      <c r="I290" s="3"/>
      <c r="J290" s="17"/>
      <c r="K290" s="17"/>
      <c r="L290" s="3"/>
      <c r="M290" s="3"/>
      <c r="N290" s="3"/>
      <c r="O290" s="3"/>
      <c r="P290" s="3"/>
      <c r="Q290" s="3"/>
      <c r="R290" s="3"/>
    </row>
    <row r="291" spans="1:18" s="18" customFormat="1" ht="37.5" x14ac:dyDescent="0.2">
      <c r="A291" s="39">
        <v>1014060</v>
      </c>
      <c r="B291" s="26" t="s">
        <v>287</v>
      </c>
      <c r="C291" s="26" t="s">
        <v>279</v>
      </c>
      <c r="D291" s="26" t="s">
        <v>326</v>
      </c>
      <c r="E291" s="31"/>
      <c r="F291" s="30">
        <f>SUM(F292:F296)</f>
        <v>767900</v>
      </c>
      <c r="G291" s="30">
        <f>SUM(G292:G296)</f>
        <v>13126</v>
      </c>
      <c r="H291" s="227">
        <f t="shared" si="3"/>
        <v>781026</v>
      </c>
      <c r="I291" s="3"/>
      <c r="J291" s="17"/>
      <c r="K291" s="17"/>
      <c r="L291" s="3"/>
      <c r="M291" s="3"/>
      <c r="N291" s="3"/>
      <c r="O291" s="3"/>
      <c r="P291" s="3"/>
      <c r="Q291" s="3"/>
      <c r="R291" s="3"/>
    </row>
    <row r="292" spans="1:18" s="18" customFormat="1" x14ac:dyDescent="0.2">
      <c r="A292" s="39"/>
      <c r="B292" s="26"/>
      <c r="C292" s="26"/>
      <c r="D292" s="26"/>
      <c r="E292" s="129" t="s">
        <v>27</v>
      </c>
      <c r="F292" s="33">
        <f>10000</f>
        <v>10000</v>
      </c>
      <c r="G292" s="33"/>
      <c r="H292" s="189">
        <f t="shared" si="3"/>
        <v>10000</v>
      </c>
      <c r="I292" s="3"/>
      <c r="J292" s="17"/>
      <c r="K292" s="17"/>
      <c r="L292" s="3"/>
      <c r="M292" s="3"/>
      <c r="N292" s="3"/>
      <c r="O292" s="3"/>
      <c r="P292" s="3"/>
      <c r="Q292" s="3"/>
      <c r="R292" s="3"/>
    </row>
    <row r="293" spans="1:18" s="18" customFormat="1" ht="37.5" x14ac:dyDescent="0.2">
      <c r="A293" s="39"/>
      <c r="B293" s="26"/>
      <c r="C293" s="26"/>
      <c r="D293" s="26"/>
      <c r="E293" s="176" t="s">
        <v>203</v>
      </c>
      <c r="F293" s="33"/>
      <c r="G293" s="33">
        <f>13100</f>
        <v>13100</v>
      </c>
      <c r="H293" s="189">
        <f t="shared" si="3"/>
        <v>13100</v>
      </c>
      <c r="I293" s="3"/>
      <c r="J293" s="17"/>
      <c r="K293" s="17"/>
      <c r="L293" s="3"/>
      <c r="M293" s="3"/>
      <c r="N293" s="3"/>
      <c r="O293" s="3"/>
      <c r="P293" s="3"/>
      <c r="Q293" s="3"/>
      <c r="R293" s="3"/>
    </row>
    <row r="294" spans="1:18" s="18" customFormat="1" ht="37.5" x14ac:dyDescent="0.2">
      <c r="A294" s="89"/>
      <c r="B294" s="90"/>
      <c r="C294" s="90"/>
      <c r="D294" s="89"/>
      <c r="E294" s="31" t="s">
        <v>25</v>
      </c>
      <c r="F294" s="33">
        <f>650000</f>
        <v>650000</v>
      </c>
      <c r="G294" s="33"/>
      <c r="H294" s="189">
        <f t="shared" si="3"/>
        <v>650000</v>
      </c>
      <c r="I294" s="3"/>
      <c r="J294" s="17"/>
      <c r="K294" s="17"/>
      <c r="L294" s="3"/>
      <c r="M294" s="3"/>
      <c r="N294" s="3"/>
      <c r="O294" s="3"/>
      <c r="P294" s="3"/>
      <c r="Q294" s="3"/>
      <c r="R294" s="3"/>
    </row>
    <row r="295" spans="1:18" s="18" customFormat="1" ht="37.5" x14ac:dyDescent="0.2">
      <c r="A295" s="89"/>
      <c r="B295" s="90"/>
      <c r="C295" s="90"/>
      <c r="D295" s="89"/>
      <c r="E295" s="73" t="s">
        <v>661</v>
      </c>
      <c r="F295" s="33">
        <v>94900</v>
      </c>
      <c r="G295" s="33">
        <f>26</f>
        <v>26</v>
      </c>
      <c r="H295" s="189">
        <f t="shared" si="3"/>
        <v>94926</v>
      </c>
      <c r="I295" s="3"/>
      <c r="J295" s="17"/>
      <c r="K295" s="17"/>
      <c r="L295" s="3"/>
      <c r="M295" s="3"/>
      <c r="N295" s="3"/>
      <c r="O295" s="3"/>
      <c r="P295" s="3"/>
      <c r="Q295" s="3"/>
      <c r="R295" s="3"/>
    </row>
    <row r="296" spans="1:18" s="18" customFormat="1" ht="37.5" x14ac:dyDescent="0.2">
      <c r="A296" s="89"/>
      <c r="B296" s="90"/>
      <c r="C296" s="90"/>
      <c r="D296" s="89"/>
      <c r="E296" s="73" t="s">
        <v>735</v>
      </c>
      <c r="F296" s="33">
        <v>13000</v>
      </c>
      <c r="G296" s="33"/>
      <c r="H296" s="189">
        <f t="shared" si="3"/>
        <v>13000</v>
      </c>
      <c r="I296" s="3"/>
      <c r="J296" s="17"/>
      <c r="K296" s="17"/>
      <c r="L296" s="3"/>
      <c r="M296" s="3"/>
      <c r="N296" s="3"/>
      <c r="O296" s="3"/>
      <c r="P296" s="3"/>
      <c r="Q296" s="3"/>
      <c r="R296" s="3"/>
    </row>
    <row r="297" spans="1:18" s="131" customFormat="1" ht="37.5" x14ac:dyDescent="0.2">
      <c r="A297" s="39">
        <v>1014081</v>
      </c>
      <c r="B297" s="26" t="s">
        <v>108</v>
      </c>
      <c r="C297" s="26" t="s">
        <v>107</v>
      </c>
      <c r="D297" s="39" t="s">
        <v>106</v>
      </c>
      <c r="E297" s="73"/>
      <c r="F297" s="30">
        <f>SUM(F298:F299)</f>
        <v>109300</v>
      </c>
      <c r="G297" s="30">
        <f>SUM(G298:G299)</f>
        <v>0</v>
      </c>
      <c r="H297" s="227">
        <f t="shared" si="3"/>
        <v>109300</v>
      </c>
      <c r="I297" s="93"/>
      <c r="J297" s="94"/>
      <c r="K297" s="94"/>
      <c r="L297" s="93"/>
      <c r="M297" s="93"/>
      <c r="N297" s="93"/>
      <c r="O297" s="93"/>
      <c r="P297" s="93"/>
      <c r="Q297" s="93"/>
      <c r="R297" s="93"/>
    </row>
    <row r="298" spans="1:18" s="18" customFormat="1" x14ac:dyDescent="0.2">
      <c r="A298" s="89"/>
      <c r="B298" s="90"/>
      <c r="C298" s="90"/>
      <c r="D298" s="89"/>
      <c r="E298" s="38" t="s">
        <v>109</v>
      </c>
      <c r="F298" s="33">
        <f>14300</f>
        <v>14300</v>
      </c>
      <c r="G298" s="33"/>
      <c r="H298" s="189">
        <f t="shared" si="3"/>
        <v>14300</v>
      </c>
      <c r="I298" s="3"/>
      <c r="J298" s="17"/>
      <c r="K298" s="17"/>
      <c r="L298" s="3"/>
      <c r="M298" s="3"/>
      <c r="N298" s="3"/>
      <c r="O298" s="3"/>
      <c r="P298" s="3"/>
      <c r="Q298" s="3"/>
      <c r="R298" s="3"/>
    </row>
    <row r="299" spans="1:18" s="18" customFormat="1" ht="37.5" x14ac:dyDescent="0.2">
      <c r="A299" s="89"/>
      <c r="B299" s="90"/>
      <c r="C299" s="90"/>
      <c r="D299" s="89"/>
      <c r="E299" s="73" t="s">
        <v>661</v>
      </c>
      <c r="F299" s="33">
        <v>95000</v>
      </c>
      <c r="G299" s="33"/>
      <c r="H299" s="189">
        <f t="shared" si="3"/>
        <v>95000</v>
      </c>
      <c r="I299" s="3"/>
      <c r="J299" s="17"/>
      <c r="K299" s="17"/>
      <c r="L299" s="3"/>
      <c r="M299" s="3"/>
      <c r="N299" s="3"/>
      <c r="O299" s="3"/>
      <c r="P299" s="3"/>
      <c r="Q299" s="3"/>
      <c r="R299" s="3"/>
    </row>
    <row r="300" spans="1:18" s="102" customFormat="1" ht="37.5" x14ac:dyDescent="0.2">
      <c r="A300" s="20" t="s">
        <v>274</v>
      </c>
      <c r="B300" s="20"/>
      <c r="C300" s="20"/>
      <c r="D300" s="20" t="s">
        <v>275</v>
      </c>
      <c r="E300" s="40"/>
      <c r="F300" s="13">
        <f>F302</f>
        <v>1000000</v>
      </c>
      <c r="G300" s="13">
        <f>G302</f>
        <v>0</v>
      </c>
      <c r="H300" s="228">
        <f t="shared" si="3"/>
        <v>1000000</v>
      </c>
      <c r="I300" s="100"/>
      <c r="J300" s="101"/>
      <c r="K300" s="101"/>
      <c r="L300" s="100"/>
      <c r="M300" s="100"/>
      <c r="N300" s="100"/>
      <c r="O300" s="100"/>
      <c r="P300" s="100"/>
      <c r="Q300" s="100"/>
    </row>
    <row r="301" spans="1:18" s="102" customFormat="1" ht="37.5" x14ac:dyDescent="0.2">
      <c r="A301" s="20" t="s">
        <v>276</v>
      </c>
      <c r="B301" s="20"/>
      <c r="C301" s="20"/>
      <c r="D301" s="23" t="s">
        <v>275</v>
      </c>
      <c r="E301" s="40"/>
      <c r="F301" s="13"/>
      <c r="G301" s="25"/>
      <c r="H301" s="189">
        <f t="shared" si="3"/>
        <v>0</v>
      </c>
      <c r="I301" s="100"/>
      <c r="J301" s="101"/>
      <c r="K301" s="101"/>
      <c r="L301" s="100"/>
      <c r="M301" s="100"/>
      <c r="N301" s="100"/>
      <c r="O301" s="100"/>
      <c r="P301" s="100"/>
      <c r="Q301" s="100"/>
    </row>
    <row r="302" spans="1:18" s="102" customFormat="1" ht="33" customHeight="1" x14ac:dyDescent="0.2">
      <c r="A302" s="130">
        <v>1115041</v>
      </c>
      <c r="B302" s="26" t="s">
        <v>374</v>
      </c>
      <c r="C302" s="26" t="s">
        <v>273</v>
      </c>
      <c r="D302" s="39" t="s">
        <v>375</v>
      </c>
      <c r="E302" s="75"/>
      <c r="F302" s="30">
        <f>SUM(F303:F303)</f>
        <v>1000000</v>
      </c>
      <c r="G302" s="30">
        <f>SUM(G303:G303)</f>
        <v>0</v>
      </c>
      <c r="H302" s="227">
        <f t="shared" si="3"/>
        <v>1000000</v>
      </c>
      <c r="I302" s="100"/>
      <c r="J302" s="101"/>
      <c r="K302" s="101"/>
      <c r="L302" s="100"/>
      <c r="M302" s="100"/>
      <c r="N302" s="100"/>
      <c r="O302" s="100"/>
      <c r="P302" s="100"/>
      <c r="Q302" s="100"/>
    </row>
    <row r="303" spans="1:18" s="5" customFormat="1" ht="75" x14ac:dyDescent="0.2">
      <c r="A303" s="24"/>
      <c r="B303" s="119"/>
      <c r="C303" s="119"/>
      <c r="D303" s="121"/>
      <c r="E303" s="34" t="s">
        <v>467</v>
      </c>
      <c r="F303" s="33">
        <v>1000000</v>
      </c>
      <c r="G303" s="25"/>
      <c r="H303" s="189">
        <f t="shared" si="3"/>
        <v>1000000</v>
      </c>
      <c r="J303" s="6"/>
      <c r="K303" s="6"/>
    </row>
    <row r="304" spans="1:18" s="18" customFormat="1" ht="46.5" customHeight="1" x14ac:dyDescent="0.2">
      <c r="A304" s="19">
        <v>1200000</v>
      </c>
      <c r="B304" s="20"/>
      <c r="C304" s="20"/>
      <c r="D304" s="20" t="s">
        <v>280</v>
      </c>
      <c r="E304" s="75"/>
      <c r="F304" s="13">
        <f>F308+F333+F421+F444+F306</f>
        <v>276562118</v>
      </c>
      <c r="G304" s="13">
        <f>G308+G333+G421+G444+G306</f>
        <v>14734207</v>
      </c>
      <c r="H304" s="228">
        <f t="shared" si="3"/>
        <v>291296325</v>
      </c>
      <c r="I304" s="3"/>
      <c r="J304" s="17"/>
      <c r="K304" s="17"/>
      <c r="L304" s="3"/>
      <c r="M304" s="3"/>
      <c r="N304" s="3"/>
      <c r="O304" s="3"/>
      <c r="P304" s="3"/>
      <c r="Q304" s="3"/>
      <c r="R304" s="3"/>
    </row>
    <row r="305" spans="1:19" s="18" customFormat="1" ht="46.5" customHeight="1" x14ac:dyDescent="0.2">
      <c r="A305" s="19">
        <v>1210000</v>
      </c>
      <c r="B305" s="20"/>
      <c r="C305" s="20"/>
      <c r="D305" s="23" t="s">
        <v>280</v>
      </c>
      <c r="E305" s="75"/>
      <c r="F305" s="13"/>
      <c r="G305" s="25"/>
      <c r="H305" s="189">
        <f t="shared" si="3"/>
        <v>0</v>
      </c>
      <c r="I305" s="3"/>
      <c r="J305" s="17"/>
      <c r="K305" s="17"/>
      <c r="L305" s="3"/>
      <c r="M305" s="3"/>
      <c r="N305" s="3"/>
      <c r="O305" s="3"/>
      <c r="P305" s="3"/>
      <c r="Q305" s="3"/>
      <c r="R305" s="3"/>
    </row>
    <row r="306" spans="1:19" s="91" customFormat="1" ht="56.25" x14ac:dyDescent="0.2">
      <c r="A306" s="26" t="s">
        <v>662</v>
      </c>
      <c r="B306" s="49" t="s">
        <v>317</v>
      </c>
      <c r="C306" s="49" t="s">
        <v>258</v>
      </c>
      <c r="D306" s="50" t="s">
        <v>318</v>
      </c>
      <c r="E306" s="74"/>
      <c r="F306" s="30">
        <f>SUM(F307)</f>
        <v>134000</v>
      </c>
      <c r="G306" s="30">
        <f>SUM(G307)</f>
        <v>0</v>
      </c>
      <c r="H306" s="227">
        <f t="shared" si="3"/>
        <v>134000</v>
      </c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</row>
    <row r="307" spans="1:19" s="92" customFormat="1" ht="45" customHeight="1" x14ac:dyDescent="0.2">
      <c r="A307" s="90"/>
      <c r="B307" s="90"/>
      <c r="C307" s="90"/>
      <c r="D307" s="89"/>
      <c r="E307" s="44" t="s">
        <v>445</v>
      </c>
      <c r="F307" s="33">
        <f>49000+85000</f>
        <v>134000</v>
      </c>
      <c r="G307" s="33"/>
      <c r="H307" s="189">
        <f t="shared" si="3"/>
        <v>134000</v>
      </c>
      <c r="I307" s="200"/>
      <c r="J307" s="17"/>
      <c r="K307" s="17"/>
      <c r="L307" s="200"/>
      <c r="M307" s="200"/>
      <c r="N307" s="200"/>
      <c r="O307" s="200"/>
      <c r="P307" s="200"/>
      <c r="Q307" s="200"/>
      <c r="R307" s="200"/>
      <c r="S307" s="200"/>
    </row>
    <row r="308" spans="1:19" s="88" customFormat="1" ht="40.5" customHeight="1" x14ac:dyDescent="0.2">
      <c r="A308" s="26" t="s">
        <v>332</v>
      </c>
      <c r="B308" s="26" t="s">
        <v>328</v>
      </c>
      <c r="C308" s="26" t="s">
        <v>431</v>
      </c>
      <c r="D308" s="26" t="s">
        <v>327</v>
      </c>
      <c r="E308" s="74"/>
      <c r="F308" s="30">
        <f>SUM(F309:F332)</f>
        <v>4606424</v>
      </c>
      <c r="G308" s="30">
        <f>SUM(G309:G332)</f>
        <v>320726</v>
      </c>
      <c r="H308" s="227">
        <f t="shared" si="3"/>
        <v>4927150</v>
      </c>
      <c r="I308" s="86"/>
      <c r="J308" s="87"/>
      <c r="K308" s="87"/>
      <c r="L308" s="86"/>
      <c r="M308" s="86"/>
      <c r="N308" s="86"/>
      <c r="O308" s="86"/>
      <c r="P308" s="86"/>
      <c r="Q308" s="86"/>
      <c r="R308" s="86"/>
    </row>
    <row r="309" spans="1:19" s="5" customFormat="1" x14ac:dyDescent="0.2">
      <c r="A309" s="24"/>
      <c r="B309" s="119"/>
      <c r="C309" s="119"/>
      <c r="D309" s="121"/>
      <c r="E309" s="204" t="s">
        <v>327</v>
      </c>
      <c r="F309" s="25">
        <v>1151378</v>
      </c>
      <c r="G309" s="25"/>
      <c r="H309" s="189">
        <f t="shared" si="3"/>
        <v>1151378</v>
      </c>
      <c r="J309" s="6"/>
      <c r="K309" s="6"/>
    </row>
    <row r="310" spans="1:19" s="5" customFormat="1" ht="56.25" x14ac:dyDescent="0.2">
      <c r="A310" s="24"/>
      <c r="B310" s="119"/>
      <c r="C310" s="119"/>
      <c r="D310" s="121"/>
      <c r="E310" s="38" t="s">
        <v>636</v>
      </c>
      <c r="F310" s="25">
        <v>300000</v>
      </c>
      <c r="G310" s="25">
        <f>81000+450000</f>
        <v>531000</v>
      </c>
      <c r="H310" s="189">
        <f t="shared" si="3"/>
        <v>831000</v>
      </c>
      <c r="J310" s="6"/>
      <c r="K310" s="6"/>
    </row>
    <row r="311" spans="1:19" s="5" customFormat="1" ht="37.5" x14ac:dyDescent="0.2">
      <c r="A311" s="24"/>
      <c r="B311" s="119"/>
      <c r="C311" s="119"/>
      <c r="D311" s="121"/>
      <c r="E311" s="38" t="s">
        <v>495</v>
      </c>
      <c r="F311" s="25">
        <v>1480000</v>
      </c>
      <c r="G311" s="25">
        <f>-226100-80597</f>
        <v>-306697</v>
      </c>
      <c r="H311" s="189">
        <f t="shared" si="3"/>
        <v>1173303</v>
      </c>
      <c r="J311" s="6"/>
      <c r="K311" s="6"/>
    </row>
    <row r="312" spans="1:19" s="5" customFormat="1" ht="37.5" x14ac:dyDescent="0.2">
      <c r="A312" s="24"/>
      <c r="B312" s="119"/>
      <c r="C312" s="119"/>
      <c r="D312" s="121"/>
      <c r="E312" s="38" t="s">
        <v>602</v>
      </c>
      <c r="F312" s="25">
        <v>40000</v>
      </c>
      <c r="G312" s="25"/>
      <c r="H312" s="189">
        <f t="shared" si="3"/>
        <v>40000</v>
      </c>
      <c r="J312" s="6"/>
      <c r="K312" s="6"/>
    </row>
    <row r="313" spans="1:19" s="5" customFormat="1" x14ac:dyDescent="0.2">
      <c r="A313" s="24"/>
      <c r="B313" s="119"/>
      <c r="C313" s="119"/>
      <c r="D313" s="121"/>
      <c r="E313" s="38" t="s">
        <v>5</v>
      </c>
      <c r="F313" s="25">
        <v>20000</v>
      </c>
      <c r="G313" s="25"/>
      <c r="H313" s="189">
        <f t="shared" si="3"/>
        <v>20000</v>
      </c>
      <c r="J313" s="6"/>
      <c r="K313" s="6"/>
    </row>
    <row r="314" spans="1:19" s="5" customFormat="1" ht="37.5" x14ac:dyDescent="0.2">
      <c r="A314" s="24"/>
      <c r="B314" s="119"/>
      <c r="C314" s="119"/>
      <c r="D314" s="121"/>
      <c r="E314" s="38" t="s">
        <v>603</v>
      </c>
      <c r="F314" s="25">
        <v>50000</v>
      </c>
      <c r="G314" s="25"/>
      <c r="H314" s="189">
        <f t="shared" si="3"/>
        <v>50000</v>
      </c>
      <c r="J314" s="6"/>
      <c r="K314" s="6"/>
    </row>
    <row r="315" spans="1:19" s="5" customFormat="1" ht="37.5" x14ac:dyDescent="0.2">
      <c r="A315" s="24"/>
      <c r="B315" s="119"/>
      <c r="C315" s="119"/>
      <c r="D315" s="121"/>
      <c r="E315" s="183" t="s">
        <v>193</v>
      </c>
      <c r="F315" s="25">
        <v>16000</v>
      </c>
      <c r="G315" s="25"/>
      <c r="H315" s="189">
        <f t="shared" si="3"/>
        <v>16000</v>
      </c>
      <c r="J315" s="6"/>
      <c r="K315" s="6"/>
    </row>
    <row r="316" spans="1:19" s="5" customFormat="1" x14ac:dyDescent="0.2">
      <c r="A316" s="24"/>
      <c r="B316" s="119"/>
      <c r="C316" s="119"/>
      <c r="D316" s="121"/>
      <c r="E316" s="38" t="s">
        <v>70</v>
      </c>
      <c r="F316" s="25">
        <v>200000</v>
      </c>
      <c r="G316" s="25"/>
      <c r="H316" s="189">
        <f t="shared" si="3"/>
        <v>200000</v>
      </c>
      <c r="J316" s="6"/>
      <c r="K316" s="6"/>
    </row>
    <row r="317" spans="1:19" s="5" customFormat="1" ht="37.5" x14ac:dyDescent="0.2">
      <c r="A317" s="24"/>
      <c r="B317" s="119"/>
      <c r="C317" s="119"/>
      <c r="D317" s="121"/>
      <c r="E317" s="38" t="s">
        <v>71</v>
      </c>
      <c r="F317" s="25">
        <v>200000</v>
      </c>
      <c r="G317" s="25"/>
      <c r="H317" s="189">
        <f t="shared" si="3"/>
        <v>200000</v>
      </c>
      <c r="J317" s="6"/>
      <c r="K317" s="6"/>
    </row>
    <row r="318" spans="1:19" s="5" customFormat="1" x14ac:dyDescent="0.2">
      <c r="A318" s="24"/>
      <c r="B318" s="119"/>
      <c r="C318" s="119"/>
      <c r="D318" s="121"/>
      <c r="E318" s="183" t="s">
        <v>103</v>
      </c>
      <c r="F318" s="25">
        <v>90000</v>
      </c>
      <c r="G318" s="25"/>
      <c r="H318" s="189">
        <f t="shared" si="3"/>
        <v>90000</v>
      </c>
      <c r="J318" s="6"/>
      <c r="K318" s="6"/>
    </row>
    <row r="319" spans="1:19" s="5" customFormat="1" ht="37.5" x14ac:dyDescent="0.2">
      <c r="A319" s="24"/>
      <c r="B319" s="119"/>
      <c r="C319" s="119"/>
      <c r="D319" s="121"/>
      <c r="E319" s="38" t="s">
        <v>72</v>
      </c>
      <c r="F319" s="25">
        <v>50000</v>
      </c>
      <c r="G319" s="25"/>
      <c r="H319" s="189">
        <f t="shared" si="3"/>
        <v>50000</v>
      </c>
      <c r="J319" s="6"/>
      <c r="K319" s="6"/>
    </row>
    <row r="320" spans="1:19" s="5" customFormat="1" ht="37.5" x14ac:dyDescent="0.2">
      <c r="A320" s="24"/>
      <c r="B320" s="119"/>
      <c r="C320" s="119"/>
      <c r="D320" s="121"/>
      <c r="E320" s="38" t="s">
        <v>73</v>
      </c>
      <c r="F320" s="25">
        <v>40000</v>
      </c>
      <c r="G320" s="25"/>
      <c r="H320" s="189">
        <f t="shared" si="3"/>
        <v>40000</v>
      </c>
      <c r="J320" s="6"/>
      <c r="K320" s="6"/>
    </row>
    <row r="321" spans="1:18" s="5" customFormat="1" ht="37.5" x14ac:dyDescent="0.2">
      <c r="A321" s="24"/>
      <c r="B321" s="119"/>
      <c r="C321" s="119"/>
      <c r="D321" s="121"/>
      <c r="E321" s="183" t="s">
        <v>102</v>
      </c>
      <c r="F321" s="25">
        <v>40000</v>
      </c>
      <c r="G321" s="25"/>
      <c r="H321" s="189">
        <f t="shared" si="3"/>
        <v>40000</v>
      </c>
      <c r="J321" s="6"/>
      <c r="K321" s="6"/>
    </row>
    <row r="322" spans="1:18" s="5" customFormat="1" ht="37.5" x14ac:dyDescent="0.2">
      <c r="A322" s="24"/>
      <c r="B322" s="119"/>
      <c r="C322" s="119"/>
      <c r="D322" s="121"/>
      <c r="E322" s="183" t="s">
        <v>219</v>
      </c>
      <c r="F322" s="25"/>
      <c r="G322" s="25">
        <f>111350</f>
        <v>111350</v>
      </c>
      <c r="H322" s="189">
        <f t="shared" si="3"/>
        <v>111350</v>
      </c>
      <c r="J322" s="6"/>
      <c r="K322" s="6"/>
    </row>
    <row r="323" spans="1:18" s="5" customFormat="1" ht="37.5" x14ac:dyDescent="0.2">
      <c r="A323" s="24"/>
      <c r="B323" s="119"/>
      <c r="C323" s="119"/>
      <c r="D323" s="121"/>
      <c r="E323" s="183" t="s">
        <v>104</v>
      </c>
      <c r="F323" s="25">
        <v>30000</v>
      </c>
      <c r="G323" s="25"/>
      <c r="H323" s="189">
        <f t="shared" si="3"/>
        <v>30000</v>
      </c>
      <c r="J323" s="6"/>
      <c r="K323" s="6"/>
    </row>
    <row r="324" spans="1:18" s="5" customFormat="1" ht="37.5" x14ac:dyDescent="0.2">
      <c r="A324" s="24"/>
      <c r="B324" s="119"/>
      <c r="C324" s="119"/>
      <c r="D324" s="121"/>
      <c r="E324" s="183" t="s">
        <v>44</v>
      </c>
      <c r="F324" s="25">
        <v>15000</v>
      </c>
      <c r="G324" s="25"/>
      <c r="H324" s="189">
        <f t="shared" si="3"/>
        <v>15000</v>
      </c>
      <c r="J324" s="6"/>
      <c r="K324" s="6"/>
    </row>
    <row r="325" spans="1:18" s="5" customFormat="1" x14ac:dyDescent="0.2">
      <c r="A325" s="24"/>
      <c r="B325" s="119"/>
      <c r="C325" s="119"/>
      <c r="D325" s="121"/>
      <c r="E325" s="183" t="s">
        <v>195</v>
      </c>
      <c r="F325" s="25"/>
      <c r="G325" s="25">
        <f>18000</f>
        <v>18000</v>
      </c>
      <c r="H325" s="189">
        <f t="shared" si="3"/>
        <v>18000</v>
      </c>
      <c r="J325" s="6"/>
      <c r="K325" s="6"/>
    </row>
    <row r="326" spans="1:18" s="5" customFormat="1" x14ac:dyDescent="0.2">
      <c r="A326" s="24"/>
      <c r="B326" s="119"/>
      <c r="C326" s="119"/>
      <c r="D326" s="121"/>
      <c r="E326" s="183" t="s">
        <v>130</v>
      </c>
      <c r="F326" s="25">
        <v>100000</v>
      </c>
      <c r="G326" s="25">
        <f>-100000</f>
        <v>-100000</v>
      </c>
      <c r="H326" s="189">
        <f t="shared" si="3"/>
        <v>0</v>
      </c>
      <c r="J326" s="6"/>
      <c r="K326" s="6"/>
    </row>
    <row r="327" spans="1:18" s="5" customFormat="1" x14ac:dyDescent="0.2">
      <c r="A327" s="24"/>
      <c r="B327" s="119"/>
      <c r="C327" s="119"/>
      <c r="D327" s="121"/>
      <c r="E327" s="183" t="s">
        <v>192</v>
      </c>
      <c r="F327" s="25"/>
      <c r="G327" s="25">
        <f>49000-47921</f>
        <v>1079</v>
      </c>
      <c r="H327" s="189">
        <f t="shared" si="3"/>
        <v>1079</v>
      </c>
      <c r="J327" s="6"/>
      <c r="K327" s="6"/>
    </row>
    <row r="328" spans="1:18" s="5" customFormat="1" ht="56.25" x14ac:dyDescent="0.2">
      <c r="A328" s="24"/>
      <c r="B328" s="119"/>
      <c r="C328" s="119"/>
      <c r="D328" s="121"/>
      <c r="E328" s="38" t="s">
        <v>15</v>
      </c>
      <c r="F328" s="25">
        <v>77746</v>
      </c>
      <c r="G328" s="25">
        <f>10000</f>
        <v>10000</v>
      </c>
      <c r="H328" s="189">
        <f t="shared" si="3"/>
        <v>87746</v>
      </c>
      <c r="J328" s="6"/>
      <c r="K328" s="6"/>
    </row>
    <row r="329" spans="1:18" s="5" customFormat="1" ht="56.25" x14ac:dyDescent="0.2">
      <c r="A329" s="24"/>
      <c r="B329" s="119"/>
      <c r="C329" s="119"/>
      <c r="D329" s="121"/>
      <c r="E329" s="38" t="s">
        <v>637</v>
      </c>
      <c r="F329" s="25">
        <v>50000</v>
      </c>
      <c r="G329" s="25"/>
      <c r="H329" s="189">
        <f t="shared" si="3"/>
        <v>50000</v>
      </c>
      <c r="J329" s="6"/>
      <c r="K329" s="6"/>
    </row>
    <row r="330" spans="1:18" s="5" customFormat="1" x14ac:dyDescent="0.2">
      <c r="A330" s="24"/>
      <c r="B330" s="119"/>
      <c r="C330" s="119"/>
      <c r="D330" s="121"/>
      <c r="E330" s="73" t="s">
        <v>64</v>
      </c>
      <c r="F330" s="25"/>
      <c r="G330" s="25">
        <f>56000</f>
        <v>56000</v>
      </c>
      <c r="H330" s="189">
        <f t="shared" si="3"/>
        <v>56000</v>
      </c>
      <c r="J330" s="6"/>
      <c r="K330" s="6"/>
    </row>
    <row r="331" spans="1:18" s="5" customFormat="1" ht="37.5" x14ac:dyDescent="0.2">
      <c r="A331" s="24"/>
      <c r="B331" s="119"/>
      <c r="C331" s="119"/>
      <c r="D331" s="121"/>
      <c r="E331" s="73" t="s">
        <v>661</v>
      </c>
      <c r="F331" s="25">
        <v>289900</v>
      </c>
      <c r="G331" s="25">
        <f>-6</f>
        <v>-6</v>
      </c>
      <c r="H331" s="189">
        <f t="shared" si="3"/>
        <v>289894</v>
      </c>
      <c r="J331" s="6"/>
      <c r="K331" s="6"/>
    </row>
    <row r="332" spans="1:18" s="5" customFormat="1" ht="37.5" x14ac:dyDescent="0.2">
      <c r="A332" s="24"/>
      <c r="B332" s="119"/>
      <c r="C332" s="119"/>
      <c r="D332" s="121"/>
      <c r="E332" s="73" t="s">
        <v>735</v>
      </c>
      <c r="F332" s="25">
        <v>366400</v>
      </c>
      <c r="G332" s="25"/>
      <c r="H332" s="189">
        <f t="shared" si="3"/>
        <v>366400</v>
      </c>
      <c r="J332" s="6"/>
      <c r="K332" s="6"/>
    </row>
    <row r="333" spans="1:18" s="88" customFormat="1" ht="33.75" customHeight="1" x14ac:dyDescent="0.2">
      <c r="A333" s="26" t="s">
        <v>329</v>
      </c>
      <c r="B333" s="26" t="s">
        <v>330</v>
      </c>
      <c r="C333" s="26" t="s">
        <v>281</v>
      </c>
      <c r="D333" s="26" t="s">
        <v>331</v>
      </c>
      <c r="E333" s="74"/>
      <c r="F333" s="30">
        <f>SUM(F334:F420)</f>
        <v>145980276</v>
      </c>
      <c r="G333" s="30">
        <f>SUM(G334:G420)</f>
        <v>-16366619</v>
      </c>
      <c r="H333" s="227">
        <f t="shared" si="3"/>
        <v>129613657</v>
      </c>
      <c r="I333" s="86"/>
      <c r="J333" s="87"/>
      <c r="K333" s="87"/>
      <c r="L333" s="86"/>
      <c r="M333" s="86"/>
      <c r="N333" s="86"/>
      <c r="O333" s="86"/>
      <c r="P333" s="86"/>
      <c r="Q333" s="86"/>
      <c r="R333" s="86"/>
    </row>
    <row r="334" spans="1:18" s="5" customFormat="1" x14ac:dyDescent="0.2">
      <c r="A334" s="24"/>
      <c r="B334" s="119"/>
      <c r="C334" s="119"/>
      <c r="D334" s="121"/>
      <c r="E334" s="19" t="s">
        <v>481</v>
      </c>
      <c r="F334" s="33"/>
      <c r="G334" s="25"/>
      <c r="H334" s="189">
        <f t="shared" si="3"/>
        <v>0</v>
      </c>
      <c r="J334" s="6"/>
      <c r="K334" s="6"/>
    </row>
    <row r="335" spans="1:18" s="5" customFormat="1" ht="56.25" x14ac:dyDescent="0.2">
      <c r="A335" s="24"/>
      <c r="B335" s="119"/>
      <c r="C335" s="119"/>
      <c r="D335" s="121"/>
      <c r="E335" s="34" t="s">
        <v>593</v>
      </c>
      <c r="F335" s="33">
        <v>6640000</v>
      </c>
      <c r="G335" s="25">
        <f>-980182-631531-954043</f>
        <v>-2565756</v>
      </c>
      <c r="H335" s="189">
        <f t="shared" si="3"/>
        <v>4074244</v>
      </c>
      <c r="J335" s="6"/>
      <c r="K335" s="6"/>
    </row>
    <row r="336" spans="1:18" s="5" customFormat="1" ht="37.5" x14ac:dyDescent="0.2">
      <c r="A336" s="24"/>
      <c r="B336" s="119"/>
      <c r="C336" s="119"/>
      <c r="D336" s="121"/>
      <c r="E336" s="182" t="s">
        <v>156</v>
      </c>
      <c r="F336" s="33"/>
      <c r="G336" s="25">
        <f>4295000</f>
        <v>4295000</v>
      </c>
      <c r="H336" s="189">
        <f t="shared" si="3"/>
        <v>4295000</v>
      </c>
      <c r="J336" s="6"/>
      <c r="K336" s="6"/>
    </row>
    <row r="337" spans="1:8" x14ac:dyDescent="0.2">
      <c r="A337" s="24"/>
      <c r="B337" s="119"/>
      <c r="C337" s="119"/>
      <c r="D337" s="121"/>
      <c r="E337" s="34" t="s">
        <v>595</v>
      </c>
      <c r="F337" s="33">
        <v>1540000</v>
      </c>
      <c r="G337" s="33">
        <f>-21300</f>
        <v>-21300</v>
      </c>
      <c r="H337" s="189">
        <f t="shared" si="3"/>
        <v>1518700</v>
      </c>
    </row>
    <row r="338" spans="1:8" x14ac:dyDescent="0.2">
      <c r="A338" s="24"/>
      <c r="B338" s="119"/>
      <c r="C338" s="119"/>
      <c r="D338" s="121"/>
      <c r="E338" s="34" t="s">
        <v>596</v>
      </c>
      <c r="F338" s="33">
        <v>600000</v>
      </c>
      <c r="G338" s="33">
        <f>-225000-72000</f>
        <v>-297000</v>
      </c>
      <c r="H338" s="189">
        <f t="shared" si="3"/>
        <v>303000</v>
      </c>
    </row>
    <row r="339" spans="1:8" x14ac:dyDescent="0.2">
      <c r="A339" s="24"/>
      <c r="B339" s="119"/>
      <c r="C339" s="119"/>
      <c r="D339" s="121"/>
      <c r="E339" s="34" t="s">
        <v>597</v>
      </c>
      <c r="F339" s="33">
        <v>1500000</v>
      </c>
      <c r="G339" s="30">
        <f>-1000000-40000-49000</f>
        <v>-1089000</v>
      </c>
      <c r="H339" s="189">
        <f t="shared" si="3"/>
        <v>411000</v>
      </c>
    </row>
    <row r="340" spans="1:8" x14ac:dyDescent="0.2">
      <c r="A340" s="24"/>
      <c r="B340" s="119"/>
      <c r="C340" s="119"/>
      <c r="D340" s="121"/>
      <c r="E340" s="34" t="s">
        <v>598</v>
      </c>
      <c r="F340" s="33">
        <v>1500000</v>
      </c>
      <c r="G340" s="33">
        <f>-220000-278540</f>
        <v>-498540</v>
      </c>
      <c r="H340" s="189">
        <f t="shared" si="3"/>
        <v>1001460</v>
      </c>
    </row>
    <row r="341" spans="1:8" ht="56.25" x14ac:dyDescent="0.2">
      <c r="A341" s="24"/>
      <c r="B341" s="119"/>
      <c r="C341" s="119"/>
      <c r="D341" s="121"/>
      <c r="E341" s="34" t="s">
        <v>632</v>
      </c>
      <c r="F341" s="33">
        <v>1260000</v>
      </c>
      <c r="G341" s="33">
        <f>-1260000</f>
        <v>-1260000</v>
      </c>
      <c r="H341" s="189">
        <f t="shared" si="3"/>
        <v>0</v>
      </c>
    </row>
    <row r="342" spans="1:8" ht="37.5" x14ac:dyDescent="0.2">
      <c r="A342" s="24"/>
      <c r="B342" s="119"/>
      <c r="C342" s="119"/>
      <c r="D342" s="121"/>
      <c r="E342" s="34" t="s">
        <v>594</v>
      </c>
      <c r="F342" s="33">
        <v>4300000</v>
      </c>
      <c r="G342" s="33">
        <f>-4300000</f>
        <v>-4300000</v>
      </c>
      <c r="H342" s="189">
        <f>F342+G342</f>
        <v>0</v>
      </c>
    </row>
    <row r="343" spans="1:8" x14ac:dyDescent="0.2">
      <c r="A343" s="24"/>
      <c r="B343" s="119"/>
      <c r="C343" s="119"/>
      <c r="D343" s="121"/>
      <c r="E343" s="34" t="s">
        <v>600</v>
      </c>
      <c r="F343" s="33">
        <v>650000</v>
      </c>
      <c r="G343" s="33">
        <f>-330000</f>
        <v>-330000</v>
      </c>
      <c r="H343" s="189">
        <f t="shared" si="3"/>
        <v>320000</v>
      </c>
    </row>
    <row r="344" spans="1:8" ht="37.5" x14ac:dyDescent="0.2">
      <c r="A344" s="24"/>
      <c r="B344" s="119"/>
      <c r="C344" s="119"/>
      <c r="D344" s="121"/>
      <c r="E344" s="34" t="s">
        <v>665</v>
      </c>
      <c r="F344" s="33">
        <v>900000</v>
      </c>
      <c r="G344" s="33">
        <f>-700000</f>
        <v>-700000</v>
      </c>
      <c r="H344" s="189">
        <f t="shared" si="3"/>
        <v>200000</v>
      </c>
    </row>
    <row r="345" spans="1:8" ht="37.5" x14ac:dyDescent="0.2">
      <c r="A345" s="24"/>
      <c r="B345" s="119"/>
      <c r="C345" s="119"/>
      <c r="D345" s="121"/>
      <c r="E345" s="34" t="s">
        <v>666</v>
      </c>
      <c r="F345" s="33">
        <v>900000</v>
      </c>
      <c r="G345" s="33">
        <f>-450000-450000</f>
        <v>-900000</v>
      </c>
      <c r="H345" s="189">
        <f t="shared" si="3"/>
        <v>0</v>
      </c>
    </row>
    <row r="346" spans="1:8" ht="37.5" x14ac:dyDescent="0.2">
      <c r="A346" s="24"/>
      <c r="B346" s="119"/>
      <c r="C346" s="119"/>
      <c r="D346" s="121"/>
      <c r="E346" s="12" t="s">
        <v>641</v>
      </c>
      <c r="F346" s="33">
        <v>0</v>
      </c>
      <c r="G346" s="33"/>
      <c r="H346" s="189">
        <f t="shared" si="3"/>
        <v>0</v>
      </c>
    </row>
    <row r="347" spans="1:8" ht="37.5" x14ac:dyDescent="0.2">
      <c r="A347" s="24"/>
      <c r="B347" s="119"/>
      <c r="C347" s="119"/>
      <c r="D347" s="121"/>
      <c r="E347" s="34" t="s">
        <v>482</v>
      </c>
      <c r="F347" s="33">
        <v>48111000</v>
      </c>
      <c r="G347" s="33">
        <f>195400-600000+270000-49000-1080064+150000-15684-60000-726472-700000-46660-51600+450000-2800000-225171-2708006+550000+193019-308391+250000+21300+228000-404074</f>
        <v>-7467403</v>
      </c>
      <c r="H347" s="189">
        <f t="shared" si="3"/>
        <v>40643597</v>
      </c>
    </row>
    <row r="348" spans="1:8" ht="37.5" x14ac:dyDescent="0.2">
      <c r="A348" s="24"/>
      <c r="B348" s="119"/>
      <c r="C348" s="119"/>
      <c r="D348" s="121"/>
      <c r="E348" s="34" t="s">
        <v>607</v>
      </c>
      <c r="F348" s="33">
        <v>1100000</v>
      </c>
      <c r="G348" s="33">
        <f>-222500</f>
        <v>-222500</v>
      </c>
      <c r="H348" s="189">
        <f t="shared" si="3"/>
        <v>877500</v>
      </c>
    </row>
    <row r="349" spans="1:8" x14ac:dyDescent="0.2">
      <c r="A349" s="24"/>
      <c r="B349" s="119"/>
      <c r="C349" s="119"/>
      <c r="D349" s="121"/>
      <c r="E349" s="34" t="s">
        <v>609</v>
      </c>
      <c r="F349" s="33">
        <v>80000</v>
      </c>
      <c r="G349" s="30"/>
      <c r="H349" s="189">
        <f t="shared" si="3"/>
        <v>80000</v>
      </c>
    </row>
    <row r="350" spans="1:8" x14ac:dyDescent="0.2">
      <c r="A350" s="24"/>
      <c r="B350" s="119"/>
      <c r="C350" s="119"/>
      <c r="D350" s="121"/>
      <c r="E350" s="12" t="s">
        <v>483</v>
      </c>
      <c r="F350" s="33">
        <v>0</v>
      </c>
      <c r="G350" s="30"/>
      <c r="H350" s="189">
        <f t="shared" si="3"/>
        <v>0</v>
      </c>
    </row>
    <row r="351" spans="1:8" x14ac:dyDescent="0.2">
      <c r="A351" s="24"/>
      <c r="B351" s="119"/>
      <c r="C351" s="119"/>
      <c r="D351" s="121"/>
      <c r="E351" s="34" t="s">
        <v>483</v>
      </c>
      <c r="F351" s="33">
        <v>3760000</v>
      </c>
      <c r="G351" s="33">
        <f>-105000+49000-42000+100000+49900+35000+49000-51400+60000-10000+13000+49000+120000-370000-228400+84000+15000-116770</f>
        <v>-299670</v>
      </c>
      <c r="H351" s="189">
        <f t="shared" si="3"/>
        <v>3460330</v>
      </c>
    </row>
    <row r="352" spans="1:8" x14ac:dyDescent="0.2">
      <c r="A352" s="24"/>
      <c r="B352" s="119"/>
      <c r="C352" s="119"/>
      <c r="D352" s="121"/>
      <c r="E352" s="34" t="s">
        <v>494</v>
      </c>
      <c r="F352" s="33">
        <v>1500000</v>
      </c>
      <c r="G352" s="33">
        <f>-1000000-70600-181600</f>
        <v>-1252200</v>
      </c>
      <c r="H352" s="189">
        <f t="shared" si="3"/>
        <v>247800</v>
      </c>
    </row>
    <row r="353" spans="1:8" ht="37.5" x14ac:dyDescent="0.2">
      <c r="A353" s="24"/>
      <c r="B353" s="119"/>
      <c r="C353" s="119"/>
      <c r="D353" s="121"/>
      <c r="E353" s="34" t="s">
        <v>629</v>
      </c>
      <c r="F353" s="33">
        <v>1848000</v>
      </c>
      <c r="G353" s="33"/>
      <c r="H353" s="189">
        <f t="shared" si="3"/>
        <v>1848000</v>
      </c>
    </row>
    <row r="354" spans="1:8" ht="37.5" x14ac:dyDescent="0.2">
      <c r="A354" s="24"/>
      <c r="B354" s="119"/>
      <c r="C354" s="119"/>
      <c r="D354" s="121"/>
      <c r="E354" s="34" t="s">
        <v>2</v>
      </c>
      <c r="F354" s="33">
        <v>62000</v>
      </c>
      <c r="G354" s="33"/>
      <c r="H354" s="189">
        <f t="shared" si="3"/>
        <v>62000</v>
      </c>
    </row>
    <row r="355" spans="1:8" ht="37.5" x14ac:dyDescent="0.2">
      <c r="A355" s="24"/>
      <c r="B355" s="119"/>
      <c r="C355" s="119"/>
      <c r="D355" s="121"/>
      <c r="E355" s="34" t="s">
        <v>617</v>
      </c>
      <c r="F355" s="33">
        <v>2438000</v>
      </c>
      <c r="G355" s="33">
        <f>-279100</f>
        <v>-279100</v>
      </c>
      <c r="H355" s="189">
        <f t="shared" si="3"/>
        <v>2158900</v>
      </c>
    </row>
    <row r="356" spans="1:8" ht="37.5" x14ac:dyDescent="0.2">
      <c r="A356" s="24"/>
      <c r="B356" s="119"/>
      <c r="C356" s="119"/>
      <c r="D356" s="121"/>
      <c r="E356" s="34" t="s">
        <v>618</v>
      </c>
      <c r="F356" s="33">
        <v>22580000</v>
      </c>
      <c r="G356" s="33">
        <f>-1049000-762288-561608+730576</f>
        <v>-1642320</v>
      </c>
      <c r="H356" s="189">
        <f t="shared" si="3"/>
        <v>20937680</v>
      </c>
    </row>
    <row r="357" spans="1:8" ht="37.5" x14ac:dyDescent="0.2">
      <c r="A357" s="24"/>
      <c r="B357" s="119"/>
      <c r="C357" s="119"/>
      <c r="D357" s="121"/>
      <c r="E357" s="34" t="s">
        <v>619</v>
      </c>
      <c r="F357" s="33">
        <v>6550000</v>
      </c>
      <c r="G357" s="33"/>
      <c r="H357" s="189">
        <f t="shared" si="3"/>
        <v>6550000</v>
      </c>
    </row>
    <row r="358" spans="1:8" ht="37.5" x14ac:dyDescent="0.2">
      <c r="A358" s="24"/>
      <c r="B358" s="119"/>
      <c r="C358" s="119"/>
      <c r="D358" s="121"/>
      <c r="E358" s="34" t="s">
        <v>620</v>
      </c>
      <c r="F358" s="33">
        <v>100000</v>
      </c>
      <c r="G358" s="33"/>
      <c r="H358" s="189">
        <f t="shared" si="3"/>
        <v>100000</v>
      </c>
    </row>
    <row r="359" spans="1:8" ht="37.5" x14ac:dyDescent="0.2">
      <c r="A359" s="24"/>
      <c r="B359" s="119"/>
      <c r="C359" s="119"/>
      <c r="D359" s="121"/>
      <c r="E359" s="34" t="s">
        <v>616</v>
      </c>
      <c r="F359" s="33">
        <v>49900</v>
      </c>
      <c r="G359" s="33"/>
      <c r="H359" s="189">
        <f t="shared" si="3"/>
        <v>49900</v>
      </c>
    </row>
    <row r="360" spans="1:8" ht="37.5" x14ac:dyDescent="0.2">
      <c r="A360" s="24"/>
      <c r="B360" s="119"/>
      <c r="C360" s="119"/>
      <c r="D360" s="121"/>
      <c r="E360" s="34" t="s">
        <v>642</v>
      </c>
      <c r="F360" s="33">
        <v>450000</v>
      </c>
      <c r="G360" s="13"/>
      <c r="H360" s="189">
        <f t="shared" si="3"/>
        <v>450000</v>
      </c>
    </row>
    <row r="361" spans="1:8" ht="37.5" x14ac:dyDescent="0.2">
      <c r="A361" s="24"/>
      <c r="B361" s="119"/>
      <c r="C361" s="119"/>
      <c r="D361" s="121"/>
      <c r="E361" s="34" t="s">
        <v>613</v>
      </c>
      <c r="F361" s="33">
        <v>15000</v>
      </c>
      <c r="G361" s="13"/>
      <c r="H361" s="189">
        <f t="shared" si="3"/>
        <v>15000</v>
      </c>
    </row>
    <row r="362" spans="1:8" ht="37.5" x14ac:dyDescent="0.2">
      <c r="A362" s="24"/>
      <c r="B362" s="119"/>
      <c r="C362" s="119"/>
      <c r="D362" s="121"/>
      <c r="E362" s="12" t="s">
        <v>484</v>
      </c>
      <c r="F362" s="33">
        <v>0</v>
      </c>
      <c r="G362" s="30"/>
      <c r="H362" s="189">
        <f t="shared" si="3"/>
        <v>0</v>
      </c>
    </row>
    <row r="363" spans="1:8" ht="37.5" x14ac:dyDescent="0.2">
      <c r="A363" s="24"/>
      <c r="B363" s="119"/>
      <c r="C363" s="119"/>
      <c r="D363" s="121"/>
      <c r="E363" s="34" t="s">
        <v>484</v>
      </c>
      <c r="F363" s="33">
        <v>1821900</v>
      </c>
      <c r="G363" s="33">
        <f>49000-19500+40000-441500+340000-94092+45500</f>
        <v>-80592</v>
      </c>
      <c r="H363" s="189">
        <f t="shared" si="3"/>
        <v>1741308</v>
      </c>
    </row>
    <row r="364" spans="1:8" x14ac:dyDescent="0.2">
      <c r="A364" s="24"/>
      <c r="B364" s="119"/>
      <c r="C364" s="119"/>
      <c r="D364" s="121"/>
      <c r="E364" s="12" t="s">
        <v>498</v>
      </c>
      <c r="F364" s="33">
        <v>0</v>
      </c>
      <c r="G364" s="30"/>
      <c r="H364" s="189">
        <f t="shared" si="3"/>
        <v>0</v>
      </c>
    </row>
    <row r="365" spans="1:8" x14ac:dyDescent="0.2">
      <c r="A365" s="24"/>
      <c r="B365" s="119"/>
      <c r="C365" s="119"/>
      <c r="D365" s="121"/>
      <c r="E365" s="31" t="s">
        <v>498</v>
      </c>
      <c r="F365" s="33">
        <v>1917000</v>
      </c>
      <c r="G365" s="33">
        <f>70000+300000-1114000</f>
        <v>-744000</v>
      </c>
      <c r="H365" s="189">
        <f t="shared" si="3"/>
        <v>1173000</v>
      </c>
    </row>
    <row r="366" spans="1:8" x14ac:dyDescent="0.2">
      <c r="A366" s="24"/>
      <c r="B366" s="119"/>
      <c r="C366" s="119"/>
      <c r="D366" s="121"/>
      <c r="E366" s="34" t="s">
        <v>497</v>
      </c>
      <c r="F366" s="33">
        <v>342390</v>
      </c>
      <c r="G366" s="33">
        <f>-100000-49000</f>
        <v>-149000</v>
      </c>
      <c r="H366" s="189">
        <f t="shared" si="3"/>
        <v>193390</v>
      </c>
    </row>
    <row r="367" spans="1:8" ht="37.5" x14ac:dyDescent="0.2">
      <c r="A367" s="24"/>
      <c r="B367" s="119"/>
      <c r="C367" s="119"/>
      <c r="D367" s="121"/>
      <c r="E367" s="34" t="s">
        <v>624</v>
      </c>
      <c r="F367" s="33">
        <v>0</v>
      </c>
      <c r="G367" s="33"/>
      <c r="H367" s="189">
        <f t="shared" si="3"/>
        <v>0</v>
      </c>
    </row>
    <row r="368" spans="1:8" ht="37.5" x14ac:dyDescent="0.2">
      <c r="A368" s="24"/>
      <c r="B368" s="119"/>
      <c r="C368" s="119"/>
      <c r="D368" s="121"/>
      <c r="E368" s="38" t="s">
        <v>631</v>
      </c>
      <c r="F368" s="25">
        <v>210000</v>
      </c>
      <c r="G368" s="25"/>
      <c r="H368" s="189">
        <f>F368+G368</f>
        <v>210000</v>
      </c>
    </row>
    <row r="369" spans="1:8" ht="37.5" x14ac:dyDescent="0.2">
      <c r="A369" s="24"/>
      <c r="B369" s="119"/>
      <c r="C369" s="119"/>
      <c r="D369" s="121"/>
      <c r="E369" s="113" t="s">
        <v>13</v>
      </c>
      <c r="F369" s="33">
        <v>150000</v>
      </c>
      <c r="G369" s="33">
        <f>2914-152914</f>
        <v>-150000</v>
      </c>
      <c r="H369" s="189">
        <f>F369+G369</f>
        <v>0</v>
      </c>
    </row>
    <row r="370" spans="1:8" ht="37.5" x14ac:dyDescent="0.2">
      <c r="A370" s="24"/>
      <c r="B370" s="119"/>
      <c r="C370" s="119"/>
      <c r="D370" s="121"/>
      <c r="E370" s="113" t="s">
        <v>14</v>
      </c>
      <c r="F370" s="33">
        <v>120000</v>
      </c>
      <c r="G370" s="33">
        <f>2337-122337</f>
        <v>-120000</v>
      </c>
      <c r="H370" s="189">
        <f>F370+G370</f>
        <v>0</v>
      </c>
    </row>
    <row r="371" spans="1:8" ht="37.5" x14ac:dyDescent="0.2">
      <c r="A371" s="24"/>
      <c r="B371" s="119"/>
      <c r="C371" s="119"/>
      <c r="D371" s="121"/>
      <c r="E371" s="34" t="s">
        <v>634</v>
      </c>
      <c r="F371" s="33">
        <v>485000</v>
      </c>
      <c r="G371" s="33"/>
      <c r="H371" s="189">
        <f t="shared" si="3"/>
        <v>485000</v>
      </c>
    </row>
    <row r="372" spans="1:8" x14ac:dyDescent="0.2">
      <c r="A372" s="24"/>
      <c r="B372" s="119"/>
      <c r="C372" s="119"/>
      <c r="D372" s="121"/>
      <c r="E372" s="19" t="s">
        <v>485</v>
      </c>
      <c r="F372" s="33">
        <v>0</v>
      </c>
      <c r="G372" s="33"/>
      <c r="H372" s="189">
        <f t="shared" si="3"/>
        <v>0</v>
      </c>
    </row>
    <row r="373" spans="1:8" x14ac:dyDescent="0.2">
      <c r="A373" s="24"/>
      <c r="B373" s="119"/>
      <c r="C373" s="119"/>
      <c r="D373" s="121"/>
      <c r="E373" s="34" t="s">
        <v>492</v>
      </c>
      <c r="F373" s="33">
        <v>2101000</v>
      </c>
      <c r="G373" s="33">
        <f>-26167+98000+49000+89500+199600+72000+454600+241000+143900-30254-193019</f>
        <v>1098160</v>
      </c>
      <c r="H373" s="189">
        <f t="shared" si="3"/>
        <v>3199160</v>
      </c>
    </row>
    <row r="374" spans="1:8" ht="37.5" x14ac:dyDescent="0.2">
      <c r="A374" s="24"/>
      <c r="B374" s="119"/>
      <c r="C374" s="119"/>
      <c r="D374" s="121"/>
      <c r="E374" s="34" t="s">
        <v>621</v>
      </c>
      <c r="F374" s="33">
        <v>1808254</v>
      </c>
      <c r="G374" s="33"/>
      <c r="H374" s="189">
        <f t="shared" si="3"/>
        <v>1808254</v>
      </c>
    </row>
    <row r="375" spans="1:8" ht="37.5" x14ac:dyDescent="0.2">
      <c r="A375" s="24"/>
      <c r="B375" s="119"/>
      <c r="C375" s="119"/>
      <c r="D375" s="121"/>
      <c r="E375" s="34" t="s">
        <v>622</v>
      </c>
      <c r="F375" s="33">
        <v>1312000</v>
      </c>
      <c r="G375" s="33"/>
      <c r="H375" s="189">
        <f t="shared" si="3"/>
        <v>1312000</v>
      </c>
    </row>
    <row r="376" spans="1:8" ht="37.5" x14ac:dyDescent="0.2">
      <c r="A376" s="24"/>
      <c r="B376" s="119"/>
      <c r="C376" s="119"/>
      <c r="D376" s="121"/>
      <c r="E376" s="113" t="s">
        <v>65</v>
      </c>
      <c r="F376" s="33">
        <v>750000</v>
      </c>
      <c r="G376" s="33"/>
      <c r="H376" s="189">
        <f t="shared" si="3"/>
        <v>750000</v>
      </c>
    </row>
    <row r="377" spans="1:8" ht="37.5" x14ac:dyDescent="0.2">
      <c r="A377" s="24"/>
      <c r="B377" s="119"/>
      <c r="C377" s="119"/>
      <c r="D377" s="121"/>
      <c r="E377" s="34" t="s">
        <v>4</v>
      </c>
      <c r="F377" s="33">
        <v>49900</v>
      </c>
      <c r="G377" s="33"/>
      <c r="H377" s="189">
        <f t="shared" si="3"/>
        <v>49900</v>
      </c>
    </row>
    <row r="378" spans="1:8" x14ac:dyDescent="0.2">
      <c r="A378" s="24"/>
      <c r="B378" s="119"/>
      <c r="C378" s="119"/>
      <c r="D378" s="121"/>
      <c r="E378" s="34" t="s">
        <v>486</v>
      </c>
      <c r="F378" s="33">
        <v>2035000</v>
      </c>
      <c r="G378" s="33">
        <f>-49000-29500-89500-18000-263000-47500-200886</f>
        <v>-697386</v>
      </c>
      <c r="H378" s="189">
        <f t="shared" si="3"/>
        <v>1337614</v>
      </c>
    </row>
    <row r="379" spans="1:8" x14ac:dyDescent="0.2">
      <c r="A379" s="24"/>
      <c r="B379" s="119"/>
      <c r="C379" s="119"/>
      <c r="D379" s="121"/>
      <c r="E379" s="175" t="s">
        <v>196</v>
      </c>
      <c r="F379" s="33"/>
      <c r="G379" s="33">
        <f>49000</f>
        <v>49000</v>
      </c>
      <c r="H379" s="189">
        <f t="shared" si="3"/>
        <v>49000</v>
      </c>
    </row>
    <row r="380" spans="1:8" ht="37.5" x14ac:dyDescent="0.2">
      <c r="A380" s="24"/>
      <c r="B380" s="119"/>
      <c r="C380" s="119"/>
      <c r="D380" s="121"/>
      <c r="E380" s="181" t="s">
        <v>96</v>
      </c>
      <c r="F380" s="33"/>
      <c r="G380" s="33">
        <f>626718</f>
        <v>626718</v>
      </c>
      <c r="H380" s="189">
        <f t="shared" si="3"/>
        <v>626718</v>
      </c>
    </row>
    <row r="381" spans="1:8" ht="56.25" x14ac:dyDescent="0.2">
      <c r="A381" s="24"/>
      <c r="B381" s="119"/>
      <c r="C381" s="119"/>
      <c r="D381" s="121"/>
      <c r="E381" s="113" t="s">
        <v>7</v>
      </c>
      <c r="F381" s="33">
        <v>211000</v>
      </c>
      <c r="G381" s="33">
        <f>4967</f>
        <v>4967</v>
      </c>
      <c r="H381" s="189">
        <f t="shared" si="3"/>
        <v>215967</v>
      </c>
    </row>
    <row r="382" spans="1:8" ht="56.25" x14ac:dyDescent="0.2">
      <c r="A382" s="24"/>
      <c r="B382" s="119"/>
      <c r="C382" s="119"/>
      <c r="D382" s="121"/>
      <c r="E382" s="113" t="s">
        <v>8</v>
      </c>
      <c r="F382" s="33">
        <v>280000</v>
      </c>
      <c r="G382" s="33">
        <f>8681</f>
        <v>8681</v>
      </c>
      <c r="H382" s="189">
        <f t="shared" si="3"/>
        <v>288681</v>
      </c>
    </row>
    <row r="383" spans="1:8" ht="56.25" x14ac:dyDescent="0.2">
      <c r="A383" s="24"/>
      <c r="B383" s="119"/>
      <c r="C383" s="119"/>
      <c r="D383" s="121"/>
      <c r="E383" s="113" t="s">
        <v>9</v>
      </c>
      <c r="F383" s="33">
        <v>65000</v>
      </c>
      <c r="G383" s="33">
        <f>1354</f>
        <v>1354</v>
      </c>
      <c r="H383" s="189">
        <f t="shared" si="3"/>
        <v>66354</v>
      </c>
    </row>
    <row r="384" spans="1:8" ht="37.5" x14ac:dyDescent="0.2">
      <c r="A384" s="24"/>
      <c r="B384" s="119"/>
      <c r="C384" s="119"/>
      <c r="D384" s="121"/>
      <c r="E384" s="113" t="s">
        <v>10</v>
      </c>
      <c r="F384" s="33">
        <v>210000</v>
      </c>
      <c r="G384" s="33">
        <f>4310</f>
        <v>4310</v>
      </c>
      <c r="H384" s="189">
        <f t="shared" si="3"/>
        <v>214310</v>
      </c>
    </row>
    <row r="385" spans="1:8" ht="37.5" x14ac:dyDescent="0.2">
      <c r="A385" s="24"/>
      <c r="B385" s="119"/>
      <c r="C385" s="119"/>
      <c r="D385" s="121"/>
      <c r="E385" s="113" t="s">
        <v>11</v>
      </c>
      <c r="F385" s="33">
        <v>30000</v>
      </c>
      <c r="G385" s="33">
        <f>586-30586</f>
        <v>-30000</v>
      </c>
      <c r="H385" s="189">
        <f t="shared" si="3"/>
        <v>0</v>
      </c>
    </row>
    <row r="386" spans="1:8" ht="37.5" x14ac:dyDescent="0.2">
      <c r="A386" s="24"/>
      <c r="B386" s="119"/>
      <c r="C386" s="119"/>
      <c r="D386" s="121"/>
      <c r="E386" s="113" t="s">
        <v>12</v>
      </c>
      <c r="F386" s="33">
        <v>49000</v>
      </c>
      <c r="G386" s="33">
        <f>1018-50018</f>
        <v>-49000</v>
      </c>
      <c r="H386" s="189">
        <f t="shared" si="3"/>
        <v>0</v>
      </c>
    </row>
    <row r="387" spans="1:8" ht="37.5" x14ac:dyDescent="0.2">
      <c r="A387" s="24"/>
      <c r="B387" s="119"/>
      <c r="C387" s="119"/>
      <c r="D387" s="121"/>
      <c r="E387" s="34" t="s">
        <v>487</v>
      </c>
      <c r="F387" s="33">
        <v>3131000</v>
      </c>
      <c r="G387" s="33">
        <f>-10100+200000-11000+726472-140000-171000+600000-49000-200000-49000-23000-318425+134000-15000</f>
        <v>673947</v>
      </c>
      <c r="H387" s="189">
        <f t="shared" si="3"/>
        <v>3804947</v>
      </c>
    </row>
    <row r="388" spans="1:8" ht="37.5" x14ac:dyDescent="0.2">
      <c r="A388" s="24"/>
      <c r="B388" s="119"/>
      <c r="C388" s="119"/>
      <c r="D388" s="121"/>
      <c r="E388" s="182" t="s">
        <v>158</v>
      </c>
      <c r="F388" s="33"/>
      <c r="G388" s="33">
        <f>220000</f>
        <v>220000</v>
      </c>
      <c r="H388" s="189">
        <f t="shared" si="3"/>
        <v>220000</v>
      </c>
    </row>
    <row r="389" spans="1:8" ht="37.5" x14ac:dyDescent="0.3">
      <c r="A389" s="24"/>
      <c r="B389" s="119"/>
      <c r="C389" s="119"/>
      <c r="D389" s="121"/>
      <c r="E389" s="209" t="s">
        <v>216</v>
      </c>
      <c r="F389" s="33"/>
      <c r="G389" s="33">
        <f>210000</f>
        <v>210000</v>
      </c>
      <c r="H389" s="189">
        <f t="shared" si="3"/>
        <v>210000</v>
      </c>
    </row>
    <row r="390" spans="1:8" ht="37.5" x14ac:dyDescent="0.2">
      <c r="A390" s="24"/>
      <c r="B390" s="119"/>
      <c r="C390" s="119"/>
      <c r="D390" s="121"/>
      <c r="E390" s="85" t="s">
        <v>0</v>
      </c>
      <c r="F390" s="33">
        <v>204000</v>
      </c>
      <c r="G390" s="33"/>
      <c r="H390" s="189">
        <f t="shared" si="3"/>
        <v>204000</v>
      </c>
    </row>
    <row r="391" spans="1:8" ht="37.5" x14ac:dyDescent="0.2">
      <c r="A391" s="24"/>
      <c r="B391" s="119"/>
      <c r="C391" s="119"/>
      <c r="D391" s="121"/>
      <c r="E391" s="182" t="s">
        <v>100</v>
      </c>
      <c r="F391" s="33">
        <v>70000</v>
      </c>
      <c r="G391" s="33">
        <f>-32371</f>
        <v>-32371</v>
      </c>
      <c r="H391" s="189">
        <f t="shared" si="3"/>
        <v>37629</v>
      </c>
    </row>
    <row r="392" spans="1:8" x14ac:dyDescent="0.2">
      <c r="A392" s="24"/>
      <c r="B392" s="119"/>
      <c r="C392" s="119"/>
      <c r="D392" s="121"/>
      <c r="E392" s="34" t="s">
        <v>488</v>
      </c>
      <c r="F392" s="33">
        <v>1570000</v>
      </c>
      <c r="G392" s="33">
        <f>49000+958240-3240-290000+49000+49900-134000</f>
        <v>678900</v>
      </c>
      <c r="H392" s="189">
        <f t="shared" si="3"/>
        <v>2248900</v>
      </c>
    </row>
    <row r="393" spans="1:8" x14ac:dyDescent="0.2">
      <c r="A393" s="24"/>
      <c r="B393" s="119"/>
      <c r="C393" s="119"/>
      <c r="D393" s="121"/>
      <c r="E393" s="175" t="s">
        <v>101</v>
      </c>
      <c r="F393" s="33">
        <v>49999</v>
      </c>
      <c r="G393" s="33"/>
      <c r="H393" s="189">
        <f t="shared" si="3"/>
        <v>49999</v>
      </c>
    </row>
    <row r="394" spans="1:8" ht="37.5" x14ac:dyDescent="0.2">
      <c r="A394" s="24"/>
      <c r="B394" s="119"/>
      <c r="C394" s="119"/>
      <c r="D394" s="121"/>
      <c r="E394" s="34" t="s">
        <v>489</v>
      </c>
      <c r="F394" s="33">
        <v>1300000</v>
      </c>
      <c r="G394" s="33">
        <f>150000-100000</f>
        <v>50000</v>
      </c>
      <c r="H394" s="189">
        <f t="shared" si="3"/>
        <v>1350000</v>
      </c>
    </row>
    <row r="395" spans="1:8" x14ac:dyDescent="0.2">
      <c r="A395" s="24"/>
      <c r="B395" s="119"/>
      <c r="C395" s="119"/>
      <c r="D395" s="121"/>
      <c r="E395" s="34" t="s">
        <v>496</v>
      </c>
      <c r="F395" s="33">
        <v>440000</v>
      </c>
      <c r="G395" s="33"/>
      <c r="H395" s="189">
        <f>F395+G395</f>
        <v>440000</v>
      </c>
    </row>
    <row r="396" spans="1:8" ht="37.5" x14ac:dyDescent="0.3">
      <c r="A396" s="24"/>
      <c r="B396" s="119"/>
      <c r="C396" s="119"/>
      <c r="D396" s="121"/>
      <c r="E396" s="209" t="s">
        <v>172</v>
      </c>
      <c r="F396" s="33"/>
      <c r="G396" s="33">
        <f>290000</f>
        <v>290000</v>
      </c>
      <c r="H396" s="189">
        <f>F396+G396</f>
        <v>290000</v>
      </c>
    </row>
    <row r="397" spans="1:8" ht="37.5" x14ac:dyDescent="0.3">
      <c r="A397" s="24"/>
      <c r="B397" s="119"/>
      <c r="C397" s="119"/>
      <c r="D397" s="121"/>
      <c r="E397" s="209" t="s">
        <v>190</v>
      </c>
      <c r="F397" s="33"/>
      <c r="G397" s="33">
        <f>49000</f>
        <v>49000</v>
      </c>
      <c r="H397" s="189">
        <f>F397+G397</f>
        <v>49000</v>
      </c>
    </row>
    <row r="398" spans="1:8" ht="37.5" x14ac:dyDescent="0.2">
      <c r="A398" s="24"/>
      <c r="B398" s="119"/>
      <c r="C398" s="119"/>
      <c r="D398" s="121"/>
      <c r="E398" s="34" t="s">
        <v>490</v>
      </c>
      <c r="F398" s="33">
        <v>600000</v>
      </c>
      <c r="G398" s="33">
        <f>700000-49000</f>
        <v>651000</v>
      </c>
      <c r="H398" s="189">
        <f t="shared" si="3"/>
        <v>1251000</v>
      </c>
    </row>
    <row r="399" spans="1:8" ht="56.25" x14ac:dyDescent="0.2">
      <c r="A399" s="24"/>
      <c r="B399" s="119"/>
      <c r="C399" s="119"/>
      <c r="D399" s="121"/>
      <c r="E399" s="113" t="s">
        <v>734</v>
      </c>
      <c r="F399" s="33">
        <v>49999</v>
      </c>
      <c r="G399" s="33"/>
      <c r="H399" s="189">
        <f t="shared" si="3"/>
        <v>49999</v>
      </c>
    </row>
    <row r="400" spans="1:8" x14ac:dyDescent="0.2">
      <c r="A400" s="24"/>
      <c r="B400" s="119"/>
      <c r="C400" s="119"/>
      <c r="D400" s="121"/>
      <c r="E400" s="34" t="s">
        <v>633</v>
      </c>
      <c r="F400" s="33">
        <v>700000</v>
      </c>
      <c r="G400" s="33"/>
      <c r="H400" s="189">
        <f t="shared" si="3"/>
        <v>700000</v>
      </c>
    </row>
    <row r="401" spans="1:8" x14ac:dyDescent="0.2">
      <c r="A401" s="24"/>
      <c r="B401" s="119"/>
      <c r="C401" s="119"/>
      <c r="D401" s="121"/>
      <c r="E401" s="34" t="s">
        <v>491</v>
      </c>
      <c r="F401" s="33">
        <v>973011</v>
      </c>
      <c r="G401" s="33">
        <f>-26900-150000-45500</f>
        <v>-222400</v>
      </c>
      <c r="H401" s="189">
        <f t="shared" si="3"/>
        <v>750611</v>
      </c>
    </row>
    <row r="402" spans="1:8" x14ac:dyDescent="0.2">
      <c r="A402" s="24"/>
      <c r="B402" s="119"/>
      <c r="C402" s="119"/>
      <c r="D402" s="121"/>
      <c r="E402" s="34" t="s">
        <v>651</v>
      </c>
      <c r="F402" s="33">
        <v>177000</v>
      </c>
      <c r="G402" s="33">
        <f>-49000</f>
        <v>-49000</v>
      </c>
      <c r="H402" s="189">
        <f t="shared" ref="H402:H510" si="4">F402+G402</f>
        <v>128000</v>
      </c>
    </row>
    <row r="403" spans="1:8" ht="37.5" x14ac:dyDescent="0.2">
      <c r="A403" s="24"/>
      <c r="B403" s="119"/>
      <c r="C403" s="119"/>
      <c r="D403" s="121"/>
      <c r="E403" s="182" t="s">
        <v>157</v>
      </c>
      <c r="F403" s="33"/>
      <c r="G403" s="33">
        <f>49000-48843</f>
        <v>157</v>
      </c>
      <c r="H403" s="189">
        <f t="shared" si="4"/>
        <v>157</v>
      </c>
    </row>
    <row r="404" spans="1:8" ht="37.5" x14ac:dyDescent="0.2">
      <c r="A404" s="24"/>
      <c r="B404" s="119"/>
      <c r="C404" s="119"/>
      <c r="D404" s="121"/>
      <c r="E404" s="34" t="s">
        <v>732</v>
      </c>
      <c r="F404" s="33">
        <v>490100</v>
      </c>
      <c r="G404" s="33">
        <f>-13000</f>
        <v>-13000</v>
      </c>
      <c r="H404" s="189">
        <f t="shared" si="4"/>
        <v>477100</v>
      </c>
    </row>
    <row r="405" spans="1:8" x14ac:dyDescent="0.2">
      <c r="A405" s="24"/>
      <c r="B405" s="119"/>
      <c r="C405" s="119"/>
      <c r="D405" s="121"/>
      <c r="E405" s="182" t="s">
        <v>170</v>
      </c>
      <c r="F405" s="33"/>
      <c r="G405" s="33">
        <f>50000</f>
        <v>50000</v>
      </c>
      <c r="H405" s="189">
        <f t="shared" si="4"/>
        <v>50000</v>
      </c>
    </row>
    <row r="406" spans="1:8" ht="37.5" x14ac:dyDescent="0.2">
      <c r="A406" s="24"/>
      <c r="B406" s="119"/>
      <c r="C406" s="119"/>
      <c r="D406" s="121"/>
      <c r="E406" s="34" t="s">
        <v>608</v>
      </c>
      <c r="F406" s="33">
        <v>430000</v>
      </c>
      <c r="G406" s="33">
        <f>83700</f>
        <v>83700</v>
      </c>
      <c r="H406" s="189">
        <f t="shared" si="4"/>
        <v>513700</v>
      </c>
    </row>
    <row r="407" spans="1:8" ht="37.5" x14ac:dyDescent="0.2">
      <c r="A407" s="24"/>
      <c r="B407" s="119"/>
      <c r="C407" s="119"/>
      <c r="D407" s="121"/>
      <c r="E407" s="182" t="s">
        <v>194</v>
      </c>
      <c r="F407" s="33"/>
      <c r="G407" s="33">
        <f>49000</f>
        <v>49000</v>
      </c>
      <c r="H407" s="189">
        <f t="shared" si="4"/>
        <v>49000</v>
      </c>
    </row>
    <row r="408" spans="1:8" ht="37.5" x14ac:dyDescent="0.2">
      <c r="A408" s="24"/>
      <c r="B408" s="119"/>
      <c r="C408" s="119"/>
      <c r="D408" s="121"/>
      <c r="E408" s="182" t="s">
        <v>153</v>
      </c>
      <c r="F408" s="33">
        <v>16600</v>
      </c>
      <c r="G408" s="33"/>
      <c r="H408" s="189">
        <f t="shared" si="4"/>
        <v>16600</v>
      </c>
    </row>
    <row r="409" spans="1:8" ht="37.5" x14ac:dyDescent="0.2">
      <c r="A409" s="24"/>
      <c r="B409" s="119"/>
      <c r="C409" s="119"/>
      <c r="D409" s="121"/>
      <c r="E409" s="34" t="s">
        <v>610</v>
      </c>
      <c r="F409" s="33">
        <v>373400</v>
      </c>
      <c r="G409" s="33">
        <f>-49000</f>
        <v>-49000</v>
      </c>
      <c r="H409" s="189">
        <f t="shared" si="4"/>
        <v>324400</v>
      </c>
    </row>
    <row r="410" spans="1:8" ht="37.5" x14ac:dyDescent="0.2">
      <c r="A410" s="24"/>
      <c r="B410" s="119"/>
      <c r="C410" s="119"/>
      <c r="D410" s="121"/>
      <c r="E410" s="34" t="s">
        <v>611</v>
      </c>
      <c r="F410" s="33">
        <v>200000</v>
      </c>
      <c r="G410" s="33"/>
      <c r="H410" s="189">
        <f t="shared" si="4"/>
        <v>200000</v>
      </c>
    </row>
    <row r="411" spans="1:8" ht="37.5" x14ac:dyDescent="0.2">
      <c r="A411" s="24"/>
      <c r="B411" s="119"/>
      <c r="C411" s="119"/>
      <c r="D411" s="121"/>
      <c r="E411" s="34" t="s">
        <v>614</v>
      </c>
      <c r="F411" s="33">
        <v>49000</v>
      </c>
      <c r="G411" s="33"/>
      <c r="H411" s="189">
        <f t="shared" si="4"/>
        <v>49000</v>
      </c>
    </row>
    <row r="412" spans="1:8" ht="37.5" x14ac:dyDescent="0.2">
      <c r="A412" s="24"/>
      <c r="B412" s="119"/>
      <c r="C412" s="119"/>
      <c r="D412" s="121"/>
      <c r="E412" s="34" t="s">
        <v>612</v>
      </c>
      <c r="F412" s="33">
        <v>35000</v>
      </c>
      <c r="G412" s="33"/>
      <c r="H412" s="189">
        <f t="shared" si="4"/>
        <v>35000</v>
      </c>
    </row>
    <row r="413" spans="1:8" ht="37.5" x14ac:dyDescent="0.2">
      <c r="A413" s="24"/>
      <c r="B413" s="119"/>
      <c r="C413" s="119"/>
      <c r="D413" s="121"/>
      <c r="E413" s="34" t="s">
        <v>615</v>
      </c>
      <c r="F413" s="33">
        <v>49000</v>
      </c>
      <c r="G413" s="33"/>
      <c r="H413" s="189">
        <f t="shared" si="4"/>
        <v>49000</v>
      </c>
    </row>
    <row r="414" spans="1:8" ht="26.25" customHeight="1" x14ac:dyDescent="0.2">
      <c r="A414" s="24"/>
      <c r="B414" s="119"/>
      <c r="C414" s="119"/>
      <c r="D414" s="121"/>
      <c r="E414" s="34" t="s">
        <v>441</v>
      </c>
      <c r="F414" s="33">
        <v>11141713</v>
      </c>
      <c r="G414" s="33"/>
      <c r="H414" s="189">
        <f t="shared" si="4"/>
        <v>11141713</v>
      </c>
    </row>
    <row r="415" spans="1:8" ht="26.25" customHeight="1" x14ac:dyDescent="0.2">
      <c r="A415" s="24"/>
      <c r="B415" s="119"/>
      <c r="C415" s="119"/>
      <c r="D415" s="121"/>
      <c r="E415" s="183" t="s">
        <v>159</v>
      </c>
      <c r="F415" s="33"/>
      <c r="G415" s="208">
        <v>21000</v>
      </c>
      <c r="H415" s="189">
        <f t="shared" si="4"/>
        <v>21000</v>
      </c>
    </row>
    <row r="416" spans="1:8" ht="26.25" customHeight="1" x14ac:dyDescent="0.2">
      <c r="A416" s="24"/>
      <c r="B416" s="119"/>
      <c r="C416" s="119"/>
      <c r="D416" s="121"/>
      <c r="E416" s="183" t="s">
        <v>160</v>
      </c>
      <c r="F416" s="33"/>
      <c r="G416" s="208">
        <v>10500</v>
      </c>
      <c r="H416" s="189">
        <f t="shared" si="4"/>
        <v>10500</v>
      </c>
    </row>
    <row r="417" spans="1:18" s="5" customFormat="1" ht="39.75" customHeight="1" x14ac:dyDescent="0.2">
      <c r="A417" s="24"/>
      <c r="B417" s="119"/>
      <c r="C417" s="119"/>
      <c r="D417" s="121"/>
      <c r="E417" s="183" t="s">
        <v>161</v>
      </c>
      <c r="F417" s="33"/>
      <c r="G417" s="208">
        <v>10500</v>
      </c>
      <c r="H417" s="189">
        <f t="shared" si="4"/>
        <v>10500</v>
      </c>
      <c r="J417" s="6"/>
      <c r="K417" s="6"/>
    </row>
    <row r="418" spans="1:18" s="5" customFormat="1" ht="26.25" customHeight="1" x14ac:dyDescent="0.2">
      <c r="A418" s="24"/>
      <c r="B418" s="119"/>
      <c r="C418" s="119"/>
      <c r="D418" s="121"/>
      <c r="E418" s="73" t="s">
        <v>64</v>
      </c>
      <c r="F418" s="33">
        <v>11010</v>
      </c>
      <c r="G418" s="33">
        <f>8000</f>
        <v>8000</v>
      </c>
      <c r="H418" s="189">
        <f t="shared" si="4"/>
        <v>19010</v>
      </c>
      <c r="J418" s="6"/>
      <c r="K418" s="6"/>
    </row>
    <row r="419" spans="1:18" s="5" customFormat="1" ht="41.25" customHeight="1" x14ac:dyDescent="0.2">
      <c r="A419" s="24"/>
      <c r="B419" s="119"/>
      <c r="C419" s="119"/>
      <c r="D419" s="121"/>
      <c r="E419" s="73" t="s">
        <v>735</v>
      </c>
      <c r="F419" s="33">
        <v>60000</v>
      </c>
      <c r="G419" s="33"/>
      <c r="H419" s="189">
        <f t="shared" si="4"/>
        <v>60000</v>
      </c>
      <c r="J419" s="6"/>
      <c r="K419" s="6"/>
    </row>
    <row r="420" spans="1:18" s="5" customFormat="1" ht="39.75" customHeight="1" x14ac:dyDescent="0.2">
      <c r="A420" s="24"/>
      <c r="B420" s="119"/>
      <c r="C420" s="119"/>
      <c r="D420" s="121"/>
      <c r="E420" s="73" t="s">
        <v>661</v>
      </c>
      <c r="F420" s="33">
        <v>1478100</v>
      </c>
      <c r="G420" s="33">
        <f>25</f>
        <v>25</v>
      </c>
      <c r="H420" s="189">
        <f t="shared" si="4"/>
        <v>1478125</v>
      </c>
      <c r="J420" s="6"/>
      <c r="K420" s="6"/>
    </row>
    <row r="421" spans="1:18" s="16" customFormat="1" ht="37.5" x14ac:dyDescent="0.2">
      <c r="A421" s="26" t="s">
        <v>333</v>
      </c>
      <c r="B421" s="26" t="s">
        <v>307</v>
      </c>
      <c r="C421" s="26" t="s">
        <v>308</v>
      </c>
      <c r="D421" s="39" t="s">
        <v>309</v>
      </c>
      <c r="E421" s="79"/>
      <c r="F421" s="29">
        <f>SUM(F422:F443)</f>
        <v>27014818</v>
      </c>
      <c r="G421" s="29">
        <f>SUM(G422:G443)</f>
        <v>9928600</v>
      </c>
      <c r="H421" s="30">
        <f t="shared" si="4"/>
        <v>36943418</v>
      </c>
      <c r="I421" s="14"/>
      <c r="J421" s="15"/>
      <c r="K421" s="15"/>
      <c r="L421" s="14"/>
      <c r="M421" s="14"/>
      <c r="N421" s="14"/>
      <c r="O421" s="14"/>
      <c r="P421" s="14"/>
      <c r="Q421" s="14"/>
      <c r="R421" s="14"/>
    </row>
    <row r="422" spans="1:18" s="16" customFormat="1" ht="56.25" x14ac:dyDescent="0.2">
      <c r="A422" s="26"/>
      <c r="B422" s="26"/>
      <c r="C422" s="26"/>
      <c r="D422" s="39"/>
      <c r="E422" s="34" t="s">
        <v>663</v>
      </c>
      <c r="F422" s="29">
        <v>2552700</v>
      </c>
      <c r="G422" s="29"/>
      <c r="H422" s="33">
        <f t="shared" si="4"/>
        <v>2552700</v>
      </c>
      <c r="I422" s="14"/>
      <c r="J422" s="15"/>
      <c r="K422" s="15"/>
      <c r="L422" s="14"/>
      <c r="M422" s="14"/>
      <c r="N422" s="14"/>
      <c r="O422" s="14"/>
      <c r="P422" s="14"/>
      <c r="Q422" s="14"/>
      <c r="R422" s="14"/>
    </row>
    <row r="423" spans="1:18" s="16" customFormat="1" x14ac:dyDescent="0.2">
      <c r="A423" s="26"/>
      <c r="B423" s="26"/>
      <c r="C423" s="26"/>
      <c r="D423" s="39"/>
      <c r="E423" s="113" t="s">
        <v>66</v>
      </c>
      <c r="F423" s="29">
        <v>950000</v>
      </c>
      <c r="G423" s="25"/>
      <c r="H423" s="33">
        <f t="shared" si="4"/>
        <v>950000</v>
      </c>
      <c r="I423" s="14"/>
      <c r="J423" s="15"/>
      <c r="K423" s="15"/>
      <c r="L423" s="14"/>
      <c r="M423" s="14"/>
      <c r="N423" s="14"/>
      <c r="O423" s="14"/>
      <c r="P423" s="14"/>
      <c r="Q423" s="14"/>
      <c r="R423" s="14"/>
    </row>
    <row r="424" spans="1:18" s="16" customFormat="1" ht="93.75" x14ac:dyDescent="0.2">
      <c r="A424" s="26"/>
      <c r="B424" s="26"/>
      <c r="C424" s="26"/>
      <c r="D424" s="39"/>
      <c r="E424" s="113" t="s">
        <v>6</v>
      </c>
      <c r="F424" s="29">
        <v>2600000</v>
      </c>
      <c r="G424" s="25">
        <f>-40000</f>
        <v>-40000</v>
      </c>
      <c r="H424" s="33">
        <f t="shared" si="4"/>
        <v>2560000</v>
      </c>
      <c r="I424" s="14"/>
      <c r="J424" s="15"/>
      <c r="K424" s="15"/>
      <c r="L424" s="14"/>
      <c r="M424" s="14"/>
      <c r="N424" s="14"/>
      <c r="O424" s="14"/>
      <c r="P424" s="14"/>
      <c r="Q424" s="14"/>
      <c r="R424" s="14"/>
    </row>
    <row r="425" spans="1:18" s="5" customFormat="1" x14ac:dyDescent="0.2">
      <c r="A425" s="24"/>
      <c r="B425" s="119"/>
      <c r="C425" s="119"/>
      <c r="D425" s="121"/>
      <c r="E425" s="34" t="s">
        <v>443</v>
      </c>
      <c r="F425" s="33">
        <v>270000</v>
      </c>
      <c r="G425" s="33"/>
      <c r="H425" s="33">
        <f t="shared" si="4"/>
        <v>270000</v>
      </c>
      <c r="J425" s="6"/>
      <c r="K425" s="6"/>
    </row>
    <row r="426" spans="1:18" s="5" customFormat="1" ht="37.5" x14ac:dyDescent="0.2">
      <c r="A426" s="24"/>
      <c r="B426" s="119"/>
      <c r="C426" s="119"/>
      <c r="D426" s="121"/>
      <c r="E426" s="34" t="s">
        <v>493</v>
      </c>
      <c r="F426" s="33">
        <v>200000</v>
      </c>
      <c r="G426" s="33">
        <f>-100000</f>
        <v>-100000</v>
      </c>
      <c r="H426" s="33">
        <f t="shared" si="4"/>
        <v>100000</v>
      </c>
      <c r="J426" s="6"/>
      <c r="K426" s="6"/>
    </row>
    <row r="427" spans="1:18" s="5" customFormat="1" ht="37.5" x14ac:dyDescent="0.2">
      <c r="A427" s="24"/>
      <c r="B427" s="119"/>
      <c r="C427" s="119"/>
      <c r="D427" s="121"/>
      <c r="E427" s="183" t="s">
        <v>191</v>
      </c>
      <c r="F427" s="25"/>
      <c r="G427" s="25">
        <f>226100</f>
        <v>226100</v>
      </c>
      <c r="H427" s="33">
        <f t="shared" si="4"/>
        <v>226100</v>
      </c>
      <c r="J427" s="6"/>
      <c r="K427" s="6"/>
    </row>
    <row r="428" spans="1:18" s="5" customFormat="1" ht="37.5" x14ac:dyDescent="0.2">
      <c r="A428" s="24"/>
      <c r="B428" s="119"/>
      <c r="C428" s="119"/>
      <c r="D428" s="121"/>
      <c r="E428" s="34" t="s">
        <v>53</v>
      </c>
      <c r="F428" s="33">
        <v>1000000</v>
      </c>
      <c r="G428" s="33">
        <f>7769852</f>
        <v>7769852</v>
      </c>
      <c r="H428" s="33">
        <f t="shared" si="4"/>
        <v>8769852</v>
      </c>
      <c r="J428" s="6"/>
      <c r="K428" s="6"/>
    </row>
    <row r="429" spans="1:18" s="5" customFormat="1" ht="37.5" x14ac:dyDescent="0.2">
      <c r="A429" s="24"/>
      <c r="B429" s="119"/>
      <c r="C429" s="119"/>
      <c r="D429" s="121"/>
      <c r="E429" s="38" t="s">
        <v>1</v>
      </c>
      <c r="F429" s="33">
        <v>350000</v>
      </c>
      <c r="G429" s="33"/>
      <c r="H429" s="33">
        <f t="shared" si="4"/>
        <v>350000</v>
      </c>
      <c r="J429" s="6"/>
      <c r="K429" s="6"/>
    </row>
    <row r="430" spans="1:18" s="5" customFormat="1" ht="37.5" x14ac:dyDescent="0.2">
      <c r="A430" s="24"/>
      <c r="B430" s="119"/>
      <c r="C430" s="119"/>
      <c r="D430" s="121"/>
      <c r="E430" s="34" t="s">
        <v>154</v>
      </c>
      <c r="F430" s="33">
        <v>1500000</v>
      </c>
      <c r="G430" s="33">
        <f>-600000-876852</f>
        <v>-1476852</v>
      </c>
      <c r="H430" s="33">
        <f t="shared" si="4"/>
        <v>23148</v>
      </c>
      <c r="J430" s="6"/>
      <c r="K430" s="6"/>
    </row>
    <row r="431" spans="1:18" s="5" customFormat="1" x14ac:dyDescent="0.2">
      <c r="A431" s="24"/>
      <c r="B431" s="119"/>
      <c r="C431" s="119"/>
      <c r="D431" s="121"/>
      <c r="E431" s="183" t="s">
        <v>129</v>
      </c>
      <c r="F431" s="33">
        <v>800000</v>
      </c>
      <c r="G431" s="33"/>
      <c r="H431" s="33">
        <f t="shared" si="4"/>
        <v>800000</v>
      </c>
      <c r="J431" s="6"/>
      <c r="K431" s="6"/>
    </row>
    <row r="432" spans="1:18" s="5" customFormat="1" ht="37.5" x14ac:dyDescent="0.2">
      <c r="A432" s="24"/>
      <c r="B432" s="119"/>
      <c r="C432" s="119"/>
      <c r="D432" s="121"/>
      <c r="E432" s="34" t="s">
        <v>3</v>
      </c>
      <c r="F432" s="33">
        <v>299000</v>
      </c>
      <c r="G432" s="33">
        <f>461000-211500</f>
        <v>249500</v>
      </c>
      <c r="H432" s="33">
        <f t="shared" si="4"/>
        <v>548500</v>
      </c>
      <c r="J432" s="6"/>
      <c r="K432" s="6"/>
    </row>
    <row r="433" spans="1:18" s="5" customFormat="1" ht="37.5" x14ac:dyDescent="0.2">
      <c r="A433" s="24"/>
      <c r="B433" s="119"/>
      <c r="C433" s="119"/>
      <c r="D433" s="121"/>
      <c r="E433" s="182" t="s">
        <v>126</v>
      </c>
      <c r="F433" s="33">
        <v>207213</v>
      </c>
      <c r="G433" s="189"/>
      <c r="H433" s="33">
        <f t="shared" si="4"/>
        <v>207213</v>
      </c>
      <c r="J433" s="6"/>
      <c r="K433" s="6"/>
    </row>
    <row r="434" spans="1:18" s="5" customFormat="1" ht="37.5" x14ac:dyDescent="0.2">
      <c r="A434" s="24"/>
      <c r="B434" s="119"/>
      <c r="C434" s="119"/>
      <c r="D434" s="121"/>
      <c r="E434" s="182" t="s">
        <v>127</v>
      </c>
      <c r="F434" s="33">
        <v>142905</v>
      </c>
      <c r="G434" s="189"/>
      <c r="H434" s="33">
        <f t="shared" si="4"/>
        <v>142905</v>
      </c>
      <c r="J434" s="6"/>
      <c r="K434" s="6"/>
    </row>
    <row r="435" spans="1:18" s="5" customFormat="1" ht="75" x14ac:dyDescent="0.2">
      <c r="A435" s="24"/>
      <c r="B435" s="119"/>
      <c r="C435" s="119"/>
      <c r="D435" s="121"/>
      <c r="E435" s="182" t="s">
        <v>128</v>
      </c>
      <c r="F435" s="33">
        <v>700000</v>
      </c>
      <c r="G435" s="189"/>
      <c r="H435" s="33">
        <f t="shared" si="4"/>
        <v>700000</v>
      </c>
      <c r="J435" s="6"/>
      <c r="K435" s="6"/>
    </row>
    <row r="436" spans="1:18" s="5" customFormat="1" ht="42.75" customHeight="1" x14ac:dyDescent="0.2">
      <c r="A436" s="24"/>
      <c r="B436" s="119"/>
      <c r="C436" s="119"/>
      <c r="D436" s="121"/>
      <c r="E436" s="182" t="s">
        <v>155</v>
      </c>
      <c r="F436" s="33"/>
      <c r="G436" s="189">
        <f>4300000</f>
        <v>4300000</v>
      </c>
      <c r="H436" s="33">
        <f t="shared" si="4"/>
        <v>4300000</v>
      </c>
      <c r="J436" s="6"/>
      <c r="K436" s="6"/>
    </row>
    <row r="437" spans="1:18" s="5" customFormat="1" ht="56.25" x14ac:dyDescent="0.2">
      <c r="A437" s="24"/>
      <c r="B437" s="119"/>
      <c r="C437" s="119"/>
      <c r="D437" s="121"/>
      <c r="E437" s="34" t="s">
        <v>599</v>
      </c>
      <c r="F437" s="33">
        <v>1510000</v>
      </c>
      <c r="G437" s="33"/>
      <c r="H437" s="33">
        <f t="shared" si="4"/>
        <v>1510000</v>
      </c>
      <c r="J437" s="6"/>
      <c r="K437" s="6"/>
    </row>
    <row r="438" spans="1:18" s="5" customFormat="1" ht="37.5" x14ac:dyDescent="0.2">
      <c r="A438" s="24"/>
      <c r="B438" s="119"/>
      <c r="C438" s="119"/>
      <c r="D438" s="121"/>
      <c r="E438" s="38" t="s">
        <v>601</v>
      </c>
      <c r="F438" s="25">
        <v>1000000</v>
      </c>
      <c r="G438" s="33"/>
      <c r="H438" s="33">
        <f t="shared" si="4"/>
        <v>1000000</v>
      </c>
      <c r="J438" s="6"/>
      <c r="K438" s="6"/>
    </row>
    <row r="439" spans="1:18" s="5" customFormat="1" ht="37.5" x14ac:dyDescent="0.2">
      <c r="A439" s="24"/>
      <c r="B439" s="119"/>
      <c r="C439" s="119"/>
      <c r="D439" s="121"/>
      <c r="E439" s="38" t="s">
        <v>664</v>
      </c>
      <c r="F439" s="25">
        <v>9702000</v>
      </c>
      <c r="G439" s="33"/>
      <c r="H439" s="33">
        <f t="shared" si="4"/>
        <v>9702000</v>
      </c>
      <c r="J439" s="6"/>
      <c r="K439" s="6"/>
    </row>
    <row r="440" spans="1:18" s="5" customFormat="1" ht="37.5" x14ac:dyDescent="0.2">
      <c r="A440" s="24"/>
      <c r="B440" s="119"/>
      <c r="C440" s="119"/>
      <c r="D440" s="121"/>
      <c r="E440" s="34" t="s">
        <v>623</v>
      </c>
      <c r="F440" s="33">
        <v>490000</v>
      </c>
      <c r="G440" s="33"/>
      <c r="H440" s="33">
        <f t="shared" si="4"/>
        <v>490000</v>
      </c>
      <c r="J440" s="6"/>
      <c r="K440" s="6"/>
    </row>
    <row r="441" spans="1:18" s="5" customFormat="1" ht="37.5" x14ac:dyDescent="0.2">
      <c r="A441" s="24"/>
      <c r="B441" s="119"/>
      <c r="C441" s="119"/>
      <c r="D441" s="121"/>
      <c r="E441" s="38" t="s">
        <v>604</v>
      </c>
      <c r="F441" s="25">
        <v>641000</v>
      </c>
      <c r="G441" s="33"/>
      <c r="H441" s="33">
        <f t="shared" si="4"/>
        <v>641000</v>
      </c>
      <c r="J441" s="6"/>
      <c r="K441" s="6"/>
    </row>
    <row r="442" spans="1:18" s="5" customFormat="1" ht="37.5" x14ac:dyDescent="0.2">
      <c r="A442" s="24"/>
      <c r="B442" s="119"/>
      <c r="C442" s="119"/>
      <c r="D442" s="121"/>
      <c r="E442" s="38" t="s">
        <v>605</v>
      </c>
      <c r="F442" s="25">
        <v>1100000</v>
      </c>
      <c r="G442" s="33"/>
      <c r="H442" s="33">
        <f t="shared" si="4"/>
        <v>1100000</v>
      </c>
      <c r="J442" s="6"/>
      <c r="K442" s="6"/>
    </row>
    <row r="443" spans="1:18" s="5" customFormat="1" x14ac:dyDescent="0.2">
      <c r="A443" s="24"/>
      <c r="B443" s="119"/>
      <c r="C443" s="119"/>
      <c r="D443" s="121"/>
      <c r="E443" s="34" t="s">
        <v>499</v>
      </c>
      <c r="F443" s="33">
        <v>1000000</v>
      </c>
      <c r="G443" s="33">
        <f>-1000000</f>
        <v>-1000000</v>
      </c>
      <c r="H443" s="33">
        <f t="shared" si="4"/>
        <v>0</v>
      </c>
      <c r="J443" s="6"/>
      <c r="K443" s="6"/>
    </row>
    <row r="444" spans="1:18" s="88" customFormat="1" ht="42" customHeight="1" x14ac:dyDescent="0.2">
      <c r="A444" s="26" t="s">
        <v>334</v>
      </c>
      <c r="B444" s="26" t="s">
        <v>297</v>
      </c>
      <c r="C444" s="26" t="s">
        <v>266</v>
      </c>
      <c r="D444" s="27" t="s">
        <v>267</v>
      </c>
      <c r="E444" s="74"/>
      <c r="F444" s="30">
        <f>SUM(F445:F458)</f>
        <v>98826600</v>
      </c>
      <c r="G444" s="30">
        <f>SUM(G445:G458)</f>
        <v>20851500</v>
      </c>
      <c r="H444" s="30">
        <f t="shared" si="4"/>
        <v>119678100</v>
      </c>
      <c r="I444" s="86"/>
      <c r="J444" s="87"/>
      <c r="K444" s="87"/>
      <c r="L444" s="86"/>
      <c r="M444" s="86"/>
      <c r="N444" s="86"/>
      <c r="O444" s="86"/>
      <c r="P444" s="86"/>
      <c r="Q444" s="86"/>
      <c r="R444" s="86"/>
    </row>
    <row r="445" spans="1:18" s="131" customFormat="1" ht="37.5" x14ac:dyDescent="0.2">
      <c r="A445" s="26"/>
      <c r="B445" s="26"/>
      <c r="C445" s="26"/>
      <c r="D445" s="27"/>
      <c r="E445" s="31" t="s">
        <v>581</v>
      </c>
      <c r="F445" s="33">
        <v>10400000</v>
      </c>
      <c r="G445" s="33">
        <f>3350000</f>
        <v>3350000</v>
      </c>
      <c r="H445" s="33">
        <f t="shared" si="4"/>
        <v>13750000</v>
      </c>
      <c r="I445" s="93"/>
      <c r="J445" s="94"/>
      <c r="K445" s="94"/>
      <c r="L445" s="93"/>
      <c r="M445" s="93"/>
      <c r="N445" s="93"/>
      <c r="O445" s="93"/>
      <c r="P445" s="93"/>
      <c r="Q445" s="93"/>
      <c r="R445" s="93"/>
    </row>
    <row r="446" spans="1:18" s="131" customFormat="1" ht="37.5" x14ac:dyDescent="0.2">
      <c r="A446" s="26"/>
      <c r="B446" s="26"/>
      <c r="C446" s="26"/>
      <c r="D446" s="27"/>
      <c r="E446" s="31" t="s">
        <v>591</v>
      </c>
      <c r="F446" s="33">
        <v>599900</v>
      </c>
      <c r="G446" s="33">
        <f>250000+2500000+1000000</f>
        <v>3750000</v>
      </c>
      <c r="H446" s="33">
        <f t="shared" si="4"/>
        <v>4349900</v>
      </c>
      <c r="I446" s="93"/>
      <c r="J446" s="94"/>
      <c r="K446" s="94"/>
      <c r="L446" s="93"/>
      <c r="M446" s="93"/>
      <c r="N446" s="93"/>
      <c r="O446" s="93"/>
      <c r="P446" s="93"/>
      <c r="Q446" s="93"/>
      <c r="R446" s="93"/>
    </row>
    <row r="447" spans="1:18" s="131" customFormat="1" ht="75" x14ac:dyDescent="0.2">
      <c r="A447" s="26"/>
      <c r="B447" s="26"/>
      <c r="C447" s="26"/>
      <c r="D447" s="27"/>
      <c r="E447" s="31" t="s">
        <v>588</v>
      </c>
      <c r="F447" s="33">
        <v>10700000</v>
      </c>
      <c r="G447" s="33">
        <f>-2163000-750000+100000</f>
        <v>-2813000</v>
      </c>
      <c r="H447" s="33">
        <f t="shared" si="4"/>
        <v>7887000</v>
      </c>
      <c r="I447" s="93"/>
      <c r="J447" s="94"/>
      <c r="K447" s="94"/>
      <c r="L447" s="93"/>
      <c r="M447" s="93"/>
      <c r="N447" s="93"/>
      <c r="O447" s="93"/>
      <c r="P447" s="93"/>
      <c r="Q447" s="93"/>
      <c r="R447" s="93"/>
    </row>
    <row r="448" spans="1:18" s="131" customFormat="1" ht="75" x14ac:dyDescent="0.2">
      <c r="A448" s="26"/>
      <c r="B448" s="26"/>
      <c r="C448" s="26"/>
      <c r="D448" s="27"/>
      <c r="E448" s="31" t="s">
        <v>590</v>
      </c>
      <c r="F448" s="33">
        <v>4000000</v>
      </c>
      <c r="G448" s="33">
        <f>-534000-250000-2000000</f>
        <v>-2784000</v>
      </c>
      <c r="H448" s="33">
        <f t="shared" si="4"/>
        <v>1216000</v>
      </c>
      <c r="I448" s="93"/>
      <c r="J448" s="94"/>
      <c r="K448" s="94"/>
      <c r="L448" s="93"/>
      <c r="M448" s="93"/>
      <c r="N448" s="93"/>
      <c r="O448" s="93"/>
      <c r="P448" s="93"/>
      <c r="Q448" s="93"/>
      <c r="R448" s="93"/>
    </row>
    <row r="449" spans="1:18" s="131" customFormat="1" ht="56.25" x14ac:dyDescent="0.2">
      <c r="A449" s="26"/>
      <c r="B449" s="26"/>
      <c r="C449" s="26"/>
      <c r="D449" s="27"/>
      <c r="E449" s="31" t="s">
        <v>98</v>
      </c>
      <c r="F449" s="33">
        <v>349900</v>
      </c>
      <c r="G449" s="33"/>
      <c r="H449" s="33">
        <f t="shared" si="4"/>
        <v>349900</v>
      </c>
      <c r="I449" s="93"/>
      <c r="J449" s="94"/>
      <c r="K449" s="94"/>
      <c r="L449" s="93"/>
      <c r="M449" s="93"/>
      <c r="N449" s="93"/>
      <c r="O449" s="93"/>
      <c r="P449" s="93"/>
      <c r="Q449" s="93"/>
      <c r="R449" s="93"/>
    </row>
    <row r="450" spans="1:18" s="131" customFormat="1" ht="56.25" x14ac:dyDescent="0.2">
      <c r="A450" s="26"/>
      <c r="B450" s="26"/>
      <c r="C450" s="26"/>
      <c r="D450" s="27"/>
      <c r="E450" s="31" t="s">
        <v>582</v>
      </c>
      <c r="F450" s="33">
        <v>2500000</v>
      </c>
      <c r="G450" s="33">
        <f>290000</f>
        <v>290000</v>
      </c>
      <c r="H450" s="33">
        <f t="shared" si="4"/>
        <v>2790000</v>
      </c>
      <c r="I450" s="93"/>
      <c r="J450" s="94"/>
      <c r="K450" s="94"/>
      <c r="L450" s="93"/>
      <c r="M450" s="93"/>
      <c r="N450" s="93"/>
      <c r="O450" s="93"/>
      <c r="P450" s="93"/>
      <c r="Q450" s="93"/>
      <c r="R450" s="93"/>
    </row>
    <row r="451" spans="1:18" s="131" customFormat="1" ht="56.25" x14ac:dyDescent="0.2">
      <c r="A451" s="26"/>
      <c r="B451" s="26"/>
      <c r="C451" s="26"/>
      <c r="D451" s="27"/>
      <c r="E451" s="31" t="s">
        <v>589</v>
      </c>
      <c r="F451" s="33">
        <v>500000</v>
      </c>
      <c r="G451" s="33"/>
      <c r="H451" s="33">
        <f t="shared" si="4"/>
        <v>500000</v>
      </c>
      <c r="I451" s="93"/>
      <c r="J451" s="94"/>
      <c r="K451" s="94"/>
      <c r="L451" s="93"/>
      <c r="M451" s="93"/>
      <c r="N451" s="93"/>
      <c r="O451" s="93"/>
      <c r="P451" s="93"/>
      <c r="Q451" s="93"/>
      <c r="R451" s="93"/>
    </row>
    <row r="452" spans="1:18" s="131" customFormat="1" ht="37.5" x14ac:dyDescent="0.2">
      <c r="A452" s="26"/>
      <c r="B452" s="26"/>
      <c r="C452" s="26"/>
      <c r="D452" s="27"/>
      <c r="E452" s="31" t="s">
        <v>99</v>
      </c>
      <c r="F452" s="33">
        <v>49900</v>
      </c>
      <c r="G452" s="33">
        <f>49000</f>
        <v>49000</v>
      </c>
      <c r="H452" s="33">
        <f t="shared" si="4"/>
        <v>98900</v>
      </c>
      <c r="I452" s="93"/>
      <c r="J452" s="94"/>
      <c r="K452" s="94"/>
      <c r="L452" s="93"/>
      <c r="M452" s="93"/>
      <c r="N452" s="93"/>
      <c r="O452" s="93"/>
      <c r="P452" s="93"/>
      <c r="Q452" s="93"/>
      <c r="R452" s="93"/>
    </row>
    <row r="453" spans="1:18" s="131" customFormat="1" ht="56.25" x14ac:dyDescent="0.2">
      <c r="A453" s="26"/>
      <c r="B453" s="26"/>
      <c r="C453" s="26"/>
      <c r="D453" s="27"/>
      <c r="E453" s="31" t="s">
        <v>733</v>
      </c>
      <c r="F453" s="33">
        <v>547900</v>
      </c>
      <c r="G453" s="33"/>
      <c r="H453" s="33">
        <f t="shared" si="4"/>
        <v>547900</v>
      </c>
      <c r="I453" s="93"/>
      <c r="J453" s="94"/>
      <c r="K453" s="94"/>
      <c r="L453" s="93"/>
      <c r="M453" s="93"/>
      <c r="N453" s="93"/>
      <c r="O453" s="93"/>
      <c r="P453" s="93"/>
      <c r="Q453" s="93"/>
      <c r="R453" s="93"/>
    </row>
    <row r="454" spans="1:18" s="131" customFormat="1" ht="56.25" x14ac:dyDescent="0.2">
      <c r="A454" s="26"/>
      <c r="B454" s="26"/>
      <c r="C454" s="26"/>
      <c r="D454" s="27"/>
      <c r="E454" s="31" t="s">
        <v>583</v>
      </c>
      <c r="F454" s="33">
        <v>8000000</v>
      </c>
      <c r="G454" s="33">
        <f>300000-122400+49000</f>
        <v>226600</v>
      </c>
      <c r="H454" s="33">
        <f t="shared" si="4"/>
        <v>8226600</v>
      </c>
      <c r="I454" s="93"/>
      <c r="J454" s="94"/>
      <c r="K454" s="94"/>
      <c r="L454" s="93"/>
      <c r="M454" s="93"/>
      <c r="N454" s="93"/>
      <c r="O454" s="93"/>
      <c r="P454" s="93"/>
      <c r="Q454" s="93"/>
      <c r="R454" s="93"/>
    </row>
    <row r="455" spans="1:18" s="131" customFormat="1" ht="37.5" x14ac:dyDescent="0.2">
      <c r="A455" s="26"/>
      <c r="B455" s="26"/>
      <c r="C455" s="26"/>
      <c r="D455" s="27"/>
      <c r="E455" s="31" t="s">
        <v>584</v>
      </c>
      <c r="F455" s="33">
        <v>6000000</v>
      </c>
      <c r="G455" s="33"/>
      <c r="H455" s="33">
        <f t="shared" si="4"/>
        <v>6000000</v>
      </c>
      <c r="I455" s="93"/>
      <c r="J455" s="94"/>
      <c r="K455" s="94"/>
      <c r="L455" s="93"/>
      <c r="M455" s="93"/>
      <c r="N455" s="93"/>
      <c r="O455" s="93"/>
      <c r="P455" s="93"/>
      <c r="Q455" s="93"/>
      <c r="R455" s="93"/>
    </row>
    <row r="456" spans="1:18" s="131" customFormat="1" ht="56.25" x14ac:dyDescent="0.2">
      <c r="A456" s="26"/>
      <c r="B456" s="26"/>
      <c r="C456" s="26"/>
      <c r="D456" s="27"/>
      <c r="E456" s="31" t="s">
        <v>585</v>
      </c>
      <c r="F456" s="33">
        <v>34199000</v>
      </c>
      <c r="G456" s="33">
        <f>1500000+1000000+3500000+1200000+2000000+2976000+1370000+700000+2230000+1700000+500000+1300000</f>
        <v>19976000</v>
      </c>
      <c r="H456" s="33">
        <f t="shared" si="4"/>
        <v>54175000</v>
      </c>
      <c r="I456" s="93"/>
      <c r="J456" s="94"/>
      <c r="K456" s="94"/>
      <c r="L456" s="93"/>
      <c r="M456" s="93"/>
      <c r="N456" s="93"/>
      <c r="O456" s="93"/>
      <c r="P456" s="93"/>
      <c r="Q456" s="93"/>
      <c r="R456" s="93"/>
    </row>
    <row r="457" spans="1:18" s="131" customFormat="1" ht="56.25" x14ac:dyDescent="0.2">
      <c r="A457" s="26"/>
      <c r="B457" s="26"/>
      <c r="C457" s="26"/>
      <c r="D457" s="27"/>
      <c r="E457" s="31" t="s">
        <v>586</v>
      </c>
      <c r="F457" s="33">
        <v>12980000</v>
      </c>
      <c r="G457" s="33">
        <f>100000-725100-228000</f>
        <v>-853100</v>
      </c>
      <c r="H457" s="33">
        <f t="shared" si="4"/>
        <v>12126900</v>
      </c>
      <c r="I457" s="93"/>
      <c r="J457" s="94"/>
      <c r="K457" s="94"/>
      <c r="L457" s="93"/>
      <c r="M457" s="93"/>
      <c r="N457" s="93"/>
      <c r="O457" s="93"/>
      <c r="P457" s="93"/>
      <c r="Q457" s="93"/>
      <c r="R457" s="93"/>
    </row>
    <row r="458" spans="1:18" s="131" customFormat="1" ht="56.25" x14ac:dyDescent="0.2">
      <c r="A458" s="26"/>
      <c r="B458" s="26"/>
      <c r="C458" s="26"/>
      <c r="D458" s="27"/>
      <c r="E458" s="31" t="s">
        <v>587</v>
      </c>
      <c r="F458" s="33">
        <v>8000000</v>
      </c>
      <c r="G458" s="33">
        <f>-340000</f>
        <v>-340000</v>
      </c>
      <c r="H458" s="33">
        <f t="shared" si="4"/>
        <v>7660000</v>
      </c>
      <c r="I458" s="93"/>
      <c r="J458" s="94"/>
      <c r="K458" s="94"/>
      <c r="L458" s="93"/>
      <c r="M458" s="93"/>
      <c r="N458" s="93"/>
      <c r="O458" s="93"/>
      <c r="P458" s="93"/>
      <c r="Q458" s="93"/>
      <c r="R458" s="93"/>
    </row>
    <row r="459" spans="1:18" s="18" customFormat="1" ht="48" customHeight="1" x14ac:dyDescent="0.2">
      <c r="A459" s="19">
        <v>1500000</v>
      </c>
      <c r="B459" s="20"/>
      <c r="C459" s="20"/>
      <c r="D459" s="19" t="s">
        <v>282</v>
      </c>
      <c r="E459" s="34"/>
      <c r="F459" s="13">
        <f>F461+F475+F483+F487+F489+F492+F555+F576+F578+F524+F580+F584+F480+F591+F574</f>
        <v>518751953</v>
      </c>
      <c r="G459" s="13">
        <f>G461+G475+G483+G487+G489+G492+G555+G576+G578+G524+G580+G584+G480+G591+G574</f>
        <v>-98084192</v>
      </c>
      <c r="H459" s="13">
        <f t="shared" si="4"/>
        <v>420667761</v>
      </c>
      <c r="J459" s="42"/>
      <c r="K459" s="42"/>
    </row>
    <row r="460" spans="1:18" s="18" customFormat="1" ht="48" customHeight="1" x14ac:dyDescent="0.2">
      <c r="A460" s="19">
        <v>1510000</v>
      </c>
      <c r="B460" s="20"/>
      <c r="C460" s="20"/>
      <c r="D460" s="36" t="s">
        <v>282</v>
      </c>
      <c r="E460" s="34"/>
      <c r="F460" s="13"/>
      <c r="G460" s="33"/>
      <c r="H460" s="13">
        <f t="shared" si="4"/>
        <v>0</v>
      </c>
      <c r="J460" s="42"/>
      <c r="K460" s="42"/>
    </row>
    <row r="461" spans="1:18" s="18" customFormat="1" x14ac:dyDescent="0.2">
      <c r="A461" s="26" t="s">
        <v>346</v>
      </c>
      <c r="B461" s="26" t="s">
        <v>269</v>
      </c>
      <c r="C461" s="26" t="s">
        <v>270</v>
      </c>
      <c r="D461" s="39" t="s">
        <v>312</v>
      </c>
      <c r="E461" s="12"/>
      <c r="F461" s="30">
        <f>SUM(F462:F474)</f>
        <v>7622800</v>
      </c>
      <c r="G461" s="30">
        <f>SUM(G462:G474)</f>
        <v>-25409</v>
      </c>
      <c r="H461" s="30">
        <f t="shared" si="4"/>
        <v>7597391</v>
      </c>
      <c r="J461" s="42"/>
      <c r="K461" s="42"/>
    </row>
    <row r="462" spans="1:18" s="18" customFormat="1" x14ac:dyDescent="0.2">
      <c r="A462" s="26"/>
      <c r="B462" s="26"/>
      <c r="C462" s="26"/>
      <c r="D462" s="39"/>
      <c r="E462" s="41" t="s">
        <v>625</v>
      </c>
      <c r="F462" s="25">
        <v>4269800</v>
      </c>
      <c r="G462" s="33">
        <f>-25409</f>
        <v>-25409</v>
      </c>
      <c r="H462" s="33">
        <f t="shared" si="4"/>
        <v>4244391</v>
      </c>
      <c r="J462" s="42"/>
      <c r="K462" s="42"/>
    </row>
    <row r="463" spans="1:18" s="18" customFormat="1" ht="37.5" x14ac:dyDescent="0.2">
      <c r="A463" s="26"/>
      <c r="B463" s="26"/>
      <c r="C463" s="26"/>
      <c r="D463" s="39"/>
      <c r="E463" s="41" t="s">
        <v>21</v>
      </c>
      <c r="F463" s="25">
        <v>1600000</v>
      </c>
      <c r="G463" s="33"/>
      <c r="H463" s="33">
        <f t="shared" si="4"/>
        <v>1600000</v>
      </c>
      <c r="J463" s="42"/>
      <c r="K463" s="42"/>
    </row>
    <row r="464" spans="1:18" s="18" customFormat="1" ht="37.5" x14ac:dyDescent="0.2">
      <c r="A464" s="26"/>
      <c r="B464" s="26"/>
      <c r="C464" s="26"/>
      <c r="D464" s="39"/>
      <c r="E464" s="41" t="s">
        <v>670</v>
      </c>
      <c r="F464" s="25">
        <v>36000</v>
      </c>
      <c r="G464" s="25"/>
      <c r="H464" s="33">
        <f t="shared" si="4"/>
        <v>36000</v>
      </c>
      <c r="J464" s="42"/>
      <c r="K464" s="42"/>
    </row>
    <row r="465" spans="1:11" s="18" customFormat="1" ht="37.5" x14ac:dyDescent="0.2">
      <c r="A465" s="26"/>
      <c r="B465" s="26"/>
      <c r="C465" s="26"/>
      <c r="D465" s="39"/>
      <c r="E465" s="41" t="s">
        <v>671</v>
      </c>
      <c r="F465" s="25">
        <v>40000</v>
      </c>
      <c r="G465" s="25"/>
      <c r="H465" s="33">
        <f t="shared" si="4"/>
        <v>40000</v>
      </c>
      <c r="J465" s="42"/>
      <c r="K465" s="42"/>
    </row>
    <row r="466" spans="1:11" s="18" customFormat="1" ht="37.5" x14ac:dyDescent="0.2">
      <c r="A466" s="26"/>
      <c r="B466" s="26"/>
      <c r="C466" s="26"/>
      <c r="D466" s="39"/>
      <c r="E466" s="41" t="s">
        <v>672</v>
      </c>
      <c r="F466" s="25">
        <v>50000</v>
      </c>
      <c r="G466" s="25"/>
      <c r="H466" s="33">
        <f t="shared" si="4"/>
        <v>50000</v>
      </c>
      <c r="J466" s="42"/>
      <c r="K466" s="42"/>
    </row>
    <row r="467" spans="1:11" s="18" customFormat="1" ht="37.5" x14ac:dyDescent="0.2">
      <c r="A467" s="26"/>
      <c r="B467" s="26"/>
      <c r="C467" s="26"/>
      <c r="D467" s="39"/>
      <c r="E467" s="41" t="s">
        <v>673</v>
      </c>
      <c r="F467" s="25">
        <v>46000</v>
      </c>
      <c r="G467" s="25"/>
      <c r="H467" s="33">
        <f t="shared" si="4"/>
        <v>46000</v>
      </c>
      <c r="J467" s="42"/>
      <c r="K467" s="42"/>
    </row>
    <row r="468" spans="1:11" s="18" customFormat="1" ht="37.5" x14ac:dyDescent="0.2">
      <c r="A468" s="26"/>
      <c r="B468" s="26"/>
      <c r="C468" s="26"/>
      <c r="D468" s="39"/>
      <c r="E468" s="41" t="s">
        <v>674</v>
      </c>
      <c r="F468" s="25">
        <v>33000</v>
      </c>
      <c r="G468" s="25"/>
      <c r="H468" s="33">
        <f t="shared" si="4"/>
        <v>33000</v>
      </c>
      <c r="J468" s="42"/>
      <c r="K468" s="42"/>
    </row>
    <row r="469" spans="1:11" s="18" customFormat="1" ht="37.5" x14ac:dyDescent="0.2">
      <c r="A469" s="26"/>
      <c r="B469" s="26"/>
      <c r="C469" s="26"/>
      <c r="D469" s="39"/>
      <c r="E469" s="41" t="s">
        <v>675</v>
      </c>
      <c r="F469" s="25">
        <v>48000</v>
      </c>
      <c r="G469" s="25"/>
      <c r="H469" s="33">
        <f t="shared" si="4"/>
        <v>48000</v>
      </c>
      <c r="J469" s="42"/>
      <c r="K469" s="42"/>
    </row>
    <row r="470" spans="1:11" s="18" customFormat="1" ht="37.5" x14ac:dyDescent="0.2">
      <c r="A470" s="26"/>
      <c r="B470" s="26"/>
      <c r="C470" s="26"/>
      <c r="D470" s="39"/>
      <c r="E470" s="41" t="s">
        <v>676</v>
      </c>
      <c r="F470" s="25">
        <v>420000</v>
      </c>
      <c r="G470" s="25"/>
      <c r="H470" s="33">
        <f t="shared" si="4"/>
        <v>420000</v>
      </c>
      <c r="J470" s="42"/>
      <c r="K470" s="42"/>
    </row>
    <row r="471" spans="1:11" s="18" customFormat="1" ht="37.5" x14ac:dyDescent="0.2">
      <c r="A471" s="26"/>
      <c r="B471" s="26"/>
      <c r="C471" s="26"/>
      <c r="D471" s="39"/>
      <c r="E471" s="41" t="s">
        <v>677</v>
      </c>
      <c r="F471" s="25">
        <v>300000</v>
      </c>
      <c r="G471" s="25"/>
      <c r="H471" s="33">
        <f t="shared" si="4"/>
        <v>300000</v>
      </c>
      <c r="J471" s="42"/>
      <c r="K471" s="42"/>
    </row>
    <row r="472" spans="1:11" s="18" customFormat="1" ht="37.5" x14ac:dyDescent="0.2">
      <c r="A472" s="26"/>
      <c r="B472" s="26"/>
      <c r="C472" s="26"/>
      <c r="D472" s="39"/>
      <c r="E472" s="41" t="s">
        <v>678</v>
      </c>
      <c r="F472" s="25">
        <v>280000</v>
      </c>
      <c r="G472" s="25"/>
      <c r="H472" s="33">
        <f t="shared" si="4"/>
        <v>280000</v>
      </c>
      <c r="J472" s="42"/>
      <c r="K472" s="42"/>
    </row>
    <row r="473" spans="1:11" s="18" customFormat="1" ht="37.5" x14ac:dyDescent="0.2">
      <c r="A473" s="26"/>
      <c r="B473" s="26"/>
      <c r="C473" s="26"/>
      <c r="D473" s="39"/>
      <c r="E473" s="41" t="s">
        <v>679</v>
      </c>
      <c r="F473" s="25">
        <v>240000</v>
      </c>
      <c r="G473" s="25"/>
      <c r="H473" s="33">
        <f t="shared" si="4"/>
        <v>240000</v>
      </c>
      <c r="J473" s="42"/>
      <c r="K473" s="42"/>
    </row>
    <row r="474" spans="1:11" s="18" customFormat="1" ht="37.5" x14ac:dyDescent="0.2">
      <c r="A474" s="26"/>
      <c r="B474" s="26"/>
      <c r="C474" s="26"/>
      <c r="D474" s="39"/>
      <c r="E474" s="41" t="s">
        <v>680</v>
      </c>
      <c r="F474" s="25">
        <v>260000</v>
      </c>
      <c r="G474" s="25"/>
      <c r="H474" s="33">
        <f t="shared" si="4"/>
        <v>260000</v>
      </c>
      <c r="J474" s="42"/>
      <c r="K474" s="42"/>
    </row>
    <row r="475" spans="1:11" s="18" customFormat="1" ht="75" x14ac:dyDescent="0.2">
      <c r="A475" s="26" t="s">
        <v>347</v>
      </c>
      <c r="B475" s="26" t="s">
        <v>271</v>
      </c>
      <c r="C475" s="26" t="s">
        <v>272</v>
      </c>
      <c r="D475" s="39" t="s">
        <v>314</v>
      </c>
      <c r="E475" s="43"/>
      <c r="F475" s="104">
        <f>SUM(F476:F479)</f>
        <v>654000</v>
      </c>
      <c r="G475" s="104">
        <f>SUM(G476:G479)</f>
        <v>300000</v>
      </c>
      <c r="H475" s="30">
        <f t="shared" si="4"/>
        <v>954000</v>
      </c>
      <c r="J475" s="42"/>
      <c r="K475" s="42"/>
    </row>
    <row r="476" spans="1:11" s="18" customFormat="1" x14ac:dyDescent="0.2">
      <c r="A476" s="26"/>
      <c r="B476" s="26"/>
      <c r="C476" s="26"/>
      <c r="D476" s="39"/>
      <c r="E476" s="41" t="s">
        <v>475</v>
      </c>
      <c r="F476" s="25">
        <v>376000</v>
      </c>
      <c r="G476" s="33"/>
      <c r="H476" s="33">
        <f t="shared" si="4"/>
        <v>376000</v>
      </c>
      <c r="J476" s="42"/>
      <c r="K476" s="42"/>
    </row>
    <row r="477" spans="1:11" s="18" customFormat="1" x14ac:dyDescent="0.2">
      <c r="A477" s="26"/>
      <c r="B477" s="26"/>
      <c r="C477" s="26"/>
      <c r="D477" s="39"/>
      <c r="E477" s="41" t="s">
        <v>19</v>
      </c>
      <c r="F477" s="25">
        <v>28000</v>
      </c>
      <c r="G477" s="33"/>
      <c r="H477" s="33">
        <f t="shared" si="4"/>
        <v>28000</v>
      </c>
      <c r="J477" s="42"/>
      <c r="K477" s="42"/>
    </row>
    <row r="478" spans="1:11" s="18" customFormat="1" ht="37.5" x14ac:dyDescent="0.2">
      <c r="A478" s="26"/>
      <c r="B478" s="26"/>
      <c r="C478" s="26"/>
      <c r="D478" s="39"/>
      <c r="E478" s="41" t="s">
        <v>247</v>
      </c>
      <c r="F478" s="25"/>
      <c r="G478" s="33">
        <f>300000</f>
        <v>300000</v>
      </c>
      <c r="H478" s="33">
        <f t="shared" si="4"/>
        <v>300000</v>
      </c>
      <c r="J478" s="42"/>
      <c r="K478" s="42"/>
    </row>
    <row r="479" spans="1:11" s="18" customFormat="1" ht="37.5" x14ac:dyDescent="0.2">
      <c r="A479" s="26"/>
      <c r="B479" s="26"/>
      <c r="C479" s="26"/>
      <c r="D479" s="39"/>
      <c r="E479" s="41" t="s">
        <v>681</v>
      </c>
      <c r="F479" s="25">
        <v>250000</v>
      </c>
      <c r="G479" s="33"/>
      <c r="H479" s="33">
        <f t="shared" si="4"/>
        <v>250000</v>
      </c>
      <c r="J479" s="42"/>
      <c r="K479" s="42"/>
    </row>
    <row r="480" spans="1:11" s="18" customFormat="1" ht="93.75" x14ac:dyDescent="0.2">
      <c r="A480" s="26" t="s">
        <v>500</v>
      </c>
      <c r="B480" s="26" t="s">
        <v>501</v>
      </c>
      <c r="C480" s="26" t="s">
        <v>502</v>
      </c>
      <c r="D480" s="39" t="s">
        <v>503</v>
      </c>
      <c r="E480" s="41"/>
      <c r="F480" s="104">
        <f>SUM(F481:F482)</f>
        <v>336000</v>
      </c>
      <c r="G480" s="104">
        <f>SUM(G481:G482)</f>
        <v>0</v>
      </c>
      <c r="H480" s="30">
        <f t="shared" si="4"/>
        <v>336000</v>
      </c>
      <c r="J480" s="42"/>
      <c r="K480" s="42"/>
    </row>
    <row r="481" spans="1:11" s="18" customFormat="1" ht="37.5" x14ac:dyDescent="0.2">
      <c r="A481" s="26"/>
      <c r="B481" s="26"/>
      <c r="C481" s="26"/>
      <c r="D481" s="39"/>
      <c r="E481" s="41" t="s">
        <v>504</v>
      </c>
      <c r="F481" s="25">
        <v>82000</v>
      </c>
      <c r="G481" s="33"/>
      <c r="H481" s="33">
        <f t="shared" si="4"/>
        <v>82000</v>
      </c>
      <c r="J481" s="42"/>
      <c r="K481" s="42"/>
    </row>
    <row r="482" spans="1:11" s="18" customFormat="1" ht="56.25" x14ac:dyDescent="0.2">
      <c r="A482" s="26"/>
      <c r="B482" s="26"/>
      <c r="C482" s="26"/>
      <c r="D482" s="39"/>
      <c r="E482" s="41" t="s">
        <v>643</v>
      </c>
      <c r="F482" s="25">
        <v>254000</v>
      </c>
      <c r="G482" s="33"/>
      <c r="H482" s="33">
        <f t="shared" si="4"/>
        <v>254000</v>
      </c>
      <c r="J482" s="42"/>
      <c r="K482" s="42"/>
    </row>
    <row r="483" spans="1:11" s="18" customFormat="1" ht="37.5" x14ac:dyDescent="0.2">
      <c r="A483" s="49" t="s">
        <v>348</v>
      </c>
      <c r="B483" s="49" t="s">
        <v>259</v>
      </c>
      <c r="C483" s="49" t="s">
        <v>260</v>
      </c>
      <c r="D483" s="50" t="s">
        <v>261</v>
      </c>
      <c r="E483" s="12"/>
      <c r="F483" s="30">
        <f>SUM(F484:F486)</f>
        <v>2472000</v>
      </c>
      <c r="G483" s="30">
        <f>SUM(G484:G486)</f>
        <v>2350661</v>
      </c>
      <c r="H483" s="30">
        <f t="shared" si="4"/>
        <v>4822661</v>
      </c>
      <c r="J483" s="42"/>
      <c r="K483" s="42"/>
    </row>
    <row r="484" spans="1:11" s="18" customFormat="1" ht="56.25" x14ac:dyDescent="0.2">
      <c r="A484" s="26"/>
      <c r="B484" s="26"/>
      <c r="C484" s="26"/>
      <c r="D484" s="39"/>
      <c r="E484" s="41" t="s">
        <v>644</v>
      </c>
      <c r="F484" s="25">
        <v>1009000</v>
      </c>
      <c r="G484" s="33"/>
      <c r="H484" s="33">
        <f t="shared" si="4"/>
        <v>1009000</v>
      </c>
      <c r="J484" s="42"/>
      <c r="K484" s="42"/>
    </row>
    <row r="485" spans="1:11" s="18" customFormat="1" x14ac:dyDescent="0.2">
      <c r="A485" s="26"/>
      <c r="B485" s="26"/>
      <c r="C485" s="26"/>
      <c r="D485" s="39"/>
      <c r="E485" s="184" t="s">
        <v>169</v>
      </c>
      <c r="F485" s="25"/>
      <c r="G485" s="33">
        <f>2450000</f>
        <v>2450000</v>
      </c>
      <c r="H485" s="33">
        <f t="shared" si="4"/>
        <v>2450000</v>
      </c>
      <c r="J485" s="42"/>
      <c r="K485" s="42"/>
    </row>
    <row r="486" spans="1:11" s="18" customFormat="1" ht="56.25" x14ac:dyDescent="0.2">
      <c r="A486" s="26"/>
      <c r="B486" s="26"/>
      <c r="C486" s="26"/>
      <c r="D486" s="39"/>
      <c r="E486" s="41" t="s">
        <v>645</v>
      </c>
      <c r="F486" s="25">
        <v>1463000</v>
      </c>
      <c r="G486" s="33">
        <f>-99339</f>
        <v>-99339</v>
      </c>
      <c r="H486" s="33">
        <f t="shared" si="4"/>
        <v>1363661</v>
      </c>
      <c r="J486" s="42"/>
      <c r="K486" s="42"/>
    </row>
    <row r="487" spans="1:11" s="18" customFormat="1" ht="37.5" x14ac:dyDescent="0.2">
      <c r="A487" s="49" t="s">
        <v>349</v>
      </c>
      <c r="B487" s="49" t="s">
        <v>320</v>
      </c>
      <c r="C487" s="49" t="s">
        <v>262</v>
      </c>
      <c r="D487" s="50" t="s">
        <v>263</v>
      </c>
      <c r="E487" s="43"/>
      <c r="F487" s="104">
        <f>SUM(F488:F488)</f>
        <v>8000000</v>
      </c>
      <c r="G487" s="104">
        <f>SUM(G488:G488)</f>
        <v>-415503</v>
      </c>
      <c r="H487" s="30">
        <f t="shared" si="4"/>
        <v>7584497</v>
      </c>
      <c r="J487" s="42"/>
      <c r="K487" s="42"/>
    </row>
    <row r="488" spans="1:11" s="18" customFormat="1" ht="56.25" x14ac:dyDescent="0.2">
      <c r="A488" s="26"/>
      <c r="B488" s="26"/>
      <c r="C488" s="26"/>
      <c r="D488" s="39"/>
      <c r="E488" s="41" t="s">
        <v>505</v>
      </c>
      <c r="F488" s="25">
        <v>8000000</v>
      </c>
      <c r="G488" s="33">
        <f>-237073-178430</f>
        <v>-415503</v>
      </c>
      <c r="H488" s="33">
        <f t="shared" si="4"/>
        <v>7584497</v>
      </c>
      <c r="J488" s="42"/>
      <c r="K488" s="42"/>
    </row>
    <row r="489" spans="1:11" s="18" customFormat="1" ht="42" customHeight="1" x14ac:dyDescent="0.2">
      <c r="A489" s="39">
        <v>1514060</v>
      </c>
      <c r="B489" s="26" t="s">
        <v>287</v>
      </c>
      <c r="C489" s="26" t="s">
        <v>279</v>
      </c>
      <c r="D489" s="26" t="s">
        <v>326</v>
      </c>
      <c r="E489" s="12"/>
      <c r="F489" s="30">
        <f>SUM(F490:F491)</f>
        <v>11547000</v>
      </c>
      <c r="G489" s="30">
        <f>SUM(G490:G491)</f>
        <v>0</v>
      </c>
      <c r="H489" s="30">
        <f t="shared" si="4"/>
        <v>11547000</v>
      </c>
      <c r="J489" s="42"/>
      <c r="K489" s="42"/>
    </row>
    <row r="490" spans="1:11" s="18" customFormat="1" ht="37.5" x14ac:dyDescent="0.2">
      <c r="A490" s="26"/>
      <c r="B490" s="26"/>
      <c r="C490" s="26"/>
      <c r="D490" s="39"/>
      <c r="E490" s="205" t="s">
        <v>646</v>
      </c>
      <c r="F490" s="25">
        <v>8796000</v>
      </c>
      <c r="G490" s="33"/>
      <c r="H490" s="33">
        <f t="shared" si="4"/>
        <v>8796000</v>
      </c>
      <c r="J490" s="42"/>
      <c r="K490" s="42"/>
    </row>
    <row r="491" spans="1:11" s="18" customFormat="1" ht="56.25" x14ac:dyDescent="0.2">
      <c r="A491" s="26"/>
      <c r="B491" s="26"/>
      <c r="C491" s="26"/>
      <c r="D491" s="39"/>
      <c r="E491" s="205" t="s">
        <v>506</v>
      </c>
      <c r="F491" s="25">
        <v>2751000</v>
      </c>
      <c r="G491" s="30"/>
      <c r="H491" s="33">
        <f t="shared" si="4"/>
        <v>2751000</v>
      </c>
      <c r="J491" s="42"/>
      <c r="K491" s="42"/>
    </row>
    <row r="492" spans="1:11" s="18" customFormat="1" ht="33" customHeight="1" x14ac:dyDescent="0.2">
      <c r="A492" s="26" t="s">
        <v>350</v>
      </c>
      <c r="B492" s="26" t="s">
        <v>330</v>
      </c>
      <c r="C492" s="26" t="s">
        <v>281</v>
      </c>
      <c r="D492" s="26" t="s">
        <v>331</v>
      </c>
      <c r="E492" s="43"/>
      <c r="F492" s="104">
        <f>SUM(F493:F523)</f>
        <v>99951288</v>
      </c>
      <c r="G492" s="104">
        <f>SUM(G493:G523)</f>
        <v>8336835</v>
      </c>
      <c r="H492" s="30">
        <f t="shared" si="4"/>
        <v>108288123</v>
      </c>
      <c r="J492" s="42"/>
      <c r="K492" s="42"/>
    </row>
    <row r="493" spans="1:11" s="18" customFormat="1" ht="37.5" x14ac:dyDescent="0.2">
      <c r="A493" s="26"/>
      <c r="B493" s="26"/>
      <c r="C493" s="26"/>
      <c r="D493" s="39"/>
      <c r="E493" s="12" t="s">
        <v>507</v>
      </c>
      <c r="F493" s="25"/>
      <c r="G493" s="33"/>
      <c r="H493" s="33">
        <f t="shared" si="4"/>
        <v>0</v>
      </c>
      <c r="J493" s="42"/>
      <c r="K493" s="42"/>
    </row>
    <row r="494" spans="1:11" s="18" customFormat="1" ht="37.5" x14ac:dyDescent="0.2">
      <c r="A494" s="26"/>
      <c r="B494" s="26"/>
      <c r="C494" s="26"/>
      <c r="D494" s="39"/>
      <c r="E494" s="41" t="s">
        <v>511</v>
      </c>
      <c r="F494" s="25">
        <v>5020000</v>
      </c>
      <c r="G494" s="33"/>
      <c r="H494" s="33">
        <f t="shared" si="4"/>
        <v>5020000</v>
      </c>
      <c r="J494" s="42"/>
      <c r="K494" s="42"/>
    </row>
    <row r="495" spans="1:11" s="18" customFormat="1" x14ac:dyDescent="0.2">
      <c r="A495" s="26"/>
      <c r="B495" s="26"/>
      <c r="C495" s="26"/>
      <c r="D495" s="39"/>
      <c r="E495" s="41" t="s">
        <v>512</v>
      </c>
      <c r="F495" s="25">
        <v>3000000</v>
      </c>
      <c r="G495" s="33"/>
      <c r="H495" s="33">
        <f t="shared" si="4"/>
        <v>3000000</v>
      </c>
      <c r="J495" s="42"/>
      <c r="K495" s="42"/>
    </row>
    <row r="496" spans="1:11" s="18" customFormat="1" x14ac:dyDescent="0.2">
      <c r="A496" s="26"/>
      <c r="B496" s="26"/>
      <c r="C496" s="26"/>
      <c r="D496" s="39"/>
      <c r="E496" s="41" t="s">
        <v>513</v>
      </c>
      <c r="F496" s="25">
        <v>1500000</v>
      </c>
      <c r="G496" s="33"/>
      <c r="H496" s="33">
        <f t="shared" si="4"/>
        <v>1500000</v>
      </c>
      <c r="J496" s="42"/>
      <c r="K496" s="42"/>
    </row>
    <row r="497" spans="1:11" s="18" customFormat="1" ht="37.5" x14ac:dyDescent="0.2">
      <c r="A497" s="26"/>
      <c r="B497" s="26"/>
      <c r="C497" s="26"/>
      <c r="D497" s="39"/>
      <c r="E497" s="41" t="s">
        <v>514</v>
      </c>
      <c r="F497" s="25">
        <v>1496000</v>
      </c>
      <c r="G497" s="46"/>
      <c r="H497" s="33">
        <f t="shared" si="4"/>
        <v>1496000</v>
      </c>
      <c r="J497" s="42"/>
      <c r="K497" s="42"/>
    </row>
    <row r="498" spans="1:11" s="18" customFormat="1" x14ac:dyDescent="0.2">
      <c r="A498" s="26"/>
      <c r="B498" s="26"/>
      <c r="C498" s="26"/>
      <c r="D498" s="39"/>
      <c r="E498" s="41" t="s">
        <v>569</v>
      </c>
      <c r="F498" s="25">
        <v>500000</v>
      </c>
      <c r="G498" s="33">
        <f>-50000</f>
        <v>-50000</v>
      </c>
      <c r="H498" s="33">
        <f t="shared" si="4"/>
        <v>450000</v>
      </c>
      <c r="J498" s="42"/>
      <c r="K498" s="42"/>
    </row>
    <row r="499" spans="1:11" s="18" customFormat="1" x14ac:dyDescent="0.2">
      <c r="A499" s="26"/>
      <c r="B499" s="26"/>
      <c r="C499" s="26"/>
      <c r="D499" s="39"/>
      <c r="E499" s="41" t="s">
        <v>515</v>
      </c>
      <c r="F499" s="25">
        <v>5888000</v>
      </c>
      <c r="G499" s="33"/>
      <c r="H499" s="33">
        <f t="shared" si="4"/>
        <v>5888000</v>
      </c>
      <c r="J499" s="42"/>
      <c r="K499" s="42"/>
    </row>
    <row r="500" spans="1:11" s="18" customFormat="1" ht="37.5" x14ac:dyDescent="0.2">
      <c r="A500" s="26"/>
      <c r="B500" s="26"/>
      <c r="C500" s="26"/>
      <c r="D500" s="39"/>
      <c r="E500" s="41" t="s">
        <v>516</v>
      </c>
      <c r="F500" s="25">
        <v>15000000</v>
      </c>
      <c r="G500" s="25"/>
      <c r="H500" s="33">
        <f t="shared" si="4"/>
        <v>15000000</v>
      </c>
      <c r="J500" s="42"/>
      <c r="K500" s="42"/>
    </row>
    <row r="501" spans="1:11" s="18" customFormat="1" ht="37.5" x14ac:dyDescent="0.2">
      <c r="A501" s="26"/>
      <c r="B501" s="26"/>
      <c r="C501" s="26"/>
      <c r="D501" s="39"/>
      <c r="E501" s="41" t="s">
        <v>517</v>
      </c>
      <c r="F501" s="25">
        <v>1420000</v>
      </c>
      <c r="G501" s="33">
        <f>-54092</f>
        <v>-54092</v>
      </c>
      <c r="H501" s="33">
        <f t="shared" si="4"/>
        <v>1365908</v>
      </c>
      <c r="J501" s="42"/>
      <c r="K501" s="42"/>
    </row>
    <row r="502" spans="1:11" s="18" customFormat="1" x14ac:dyDescent="0.2">
      <c r="A502" s="26"/>
      <c r="B502" s="26"/>
      <c r="C502" s="26"/>
      <c r="D502" s="39"/>
      <c r="E502" s="41" t="s">
        <v>518</v>
      </c>
      <c r="F502" s="25">
        <v>7491000</v>
      </c>
      <c r="G502" s="46">
        <f>-108668</f>
        <v>-108668</v>
      </c>
      <c r="H502" s="33">
        <f t="shared" si="4"/>
        <v>7382332</v>
      </c>
      <c r="J502" s="42"/>
      <c r="K502" s="42"/>
    </row>
    <row r="503" spans="1:11" s="18" customFormat="1" x14ac:dyDescent="0.2">
      <c r="A503" s="26"/>
      <c r="B503" s="26"/>
      <c r="C503" s="26"/>
      <c r="D503" s="39"/>
      <c r="E503" s="41" t="s">
        <v>648</v>
      </c>
      <c r="F503" s="25">
        <v>3000000</v>
      </c>
      <c r="G503" s="33"/>
      <c r="H503" s="33">
        <f t="shared" si="4"/>
        <v>3000000</v>
      </c>
      <c r="J503" s="42"/>
      <c r="K503" s="42"/>
    </row>
    <row r="504" spans="1:11" s="18" customFormat="1" x14ac:dyDescent="0.2">
      <c r="A504" s="26"/>
      <c r="B504" s="26"/>
      <c r="C504" s="26"/>
      <c r="D504" s="39"/>
      <c r="E504" s="41" t="s">
        <v>649</v>
      </c>
      <c r="F504" s="25">
        <v>2549000</v>
      </c>
      <c r="G504" s="33"/>
      <c r="H504" s="33">
        <f t="shared" si="4"/>
        <v>2549000</v>
      </c>
      <c r="J504" s="42"/>
      <c r="K504" s="42"/>
    </row>
    <row r="505" spans="1:11" s="18" customFormat="1" x14ac:dyDescent="0.2">
      <c r="A505" s="26"/>
      <c r="B505" s="26"/>
      <c r="C505" s="26"/>
      <c r="D505" s="39"/>
      <c r="E505" s="41" t="s">
        <v>18</v>
      </c>
      <c r="F505" s="25">
        <v>3250000</v>
      </c>
      <c r="G505" s="33"/>
      <c r="H505" s="33">
        <f t="shared" si="4"/>
        <v>3250000</v>
      </c>
      <c r="J505" s="42"/>
      <c r="K505" s="42"/>
    </row>
    <row r="506" spans="1:11" s="18" customFormat="1" x14ac:dyDescent="0.2">
      <c r="A506" s="26"/>
      <c r="B506" s="26"/>
      <c r="C506" s="26"/>
      <c r="D506" s="39"/>
      <c r="E506" s="41" t="s">
        <v>519</v>
      </c>
      <c r="F506" s="25">
        <v>10000000</v>
      </c>
      <c r="G506" s="33">
        <f>-141000</f>
        <v>-141000</v>
      </c>
      <c r="H506" s="33">
        <f t="shared" si="4"/>
        <v>9859000</v>
      </c>
      <c r="J506" s="42"/>
      <c r="K506" s="42"/>
    </row>
    <row r="507" spans="1:11" s="18" customFormat="1" ht="37.5" x14ac:dyDescent="0.2">
      <c r="A507" s="26"/>
      <c r="B507" s="26"/>
      <c r="C507" s="26"/>
      <c r="D507" s="39"/>
      <c r="E507" s="41" t="s">
        <v>67</v>
      </c>
      <c r="F507" s="25">
        <v>900000</v>
      </c>
      <c r="G507" s="33"/>
      <c r="H507" s="33">
        <f t="shared" si="4"/>
        <v>900000</v>
      </c>
      <c r="J507" s="42"/>
      <c r="K507" s="42"/>
    </row>
    <row r="508" spans="1:11" s="18" customFormat="1" x14ac:dyDescent="0.2">
      <c r="A508" s="26"/>
      <c r="B508" s="26"/>
      <c r="C508" s="26"/>
      <c r="D508" s="39"/>
      <c r="E508" s="41" t="s">
        <v>626</v>
      </c>
      <c r="F508" s="25">
        <v>1500000</v>
      </c>
      <c r="G508" s="33">
        <f>-1450000</f>
        <v>-1450000</v>
      </c>
      <c r="H508" s="33">
        <f t="shared" si="4"/>
        <v>50000</v>
      </c>
      <c r="J508" s="42"/>
      <c r="K508" s="42"/>
    </row>
    <row r="509" spans="1:11" s="18" customFormat="1" x14ac:dyDescent="0.2">
      <c r="A509" s="26"/>
      <c r="B509" s="26"/>
      <c r="C509" s="26"/>
      <c r="D509" s="39"/>
      <c r="E509" s="184" t="s">
        <v>202</v>
      </c>
      <c r="F509" s="25"/>
      <c r="G509" s="33">
        <f>1450000</f>
        <v>1450000</v>
      </c>
      <c r="H509" s="33">
        <f t="shared" si="4"/>
        <v>1450000</v>
      </c>
      <c r="J509" s="42"/>
      <c r="K509" s="42"/>
    </row>
    <row r="510" spans="1:11" s="18" customFormat="1" x14ac:dyDescent="0.2">
      <c r="A510" s="26"/>
      <c r="B510" s="26"/>
      <c r="C510" s="26"/>
      <c r="D510" s="39"/>
      <c r="E510" s="41" t="s">
        <v>647</v>
      </c>
      <c r="F510" s="25">
        <v>500000</v>
      </c>
      <c r="G510" s="30"/>
      <c r="H510" s="33">
        <f t="shared" si="4"/>
        <v>500000</v>
      </c>
      <c r="J510" s="42"/>
      <c r="K510" s="42"/>
    </row>
    <row r="511" spans="1:11" s="18" customFormat="1" x14ac:dyDescent="0.2">
      <c r="A511" s="26"/>
      <c r="B511" s="26"/>
      <c r="C511" s="26"/>
      <c r="D511" s="39"/>
      <c r="E511" s="41" t="s">
        <v>520</v>
      </c>
      <c r="F511" s="25">
        <v>5000000</v>
      </c>
      <c r="G511" s="46"/>
      <c r="H511" s="33">
        <f t="shared" ref="H511:H586" si="5">F511+G511</f>
        <v>5000000</v>
      </c>
      <c r="J511" s="42"/>
      <c r="K511" s="42"/>
    </row>
    <row r="512" spans="1:11" s="18" customFormat="1" x14ac:dyDescent="0.2">
      <c r="A512" s="26"/>
      <c r="B512" s="26"/>
      <c r="C512" s="26"/>
      <c r="D512" s="39"/>
      <c r="E512" s="41" t="s">
        <v>521</v>
      </c>
      <c r="F512" s="25">
        <v>5000000</v>
      </c>
      <c r="G512" s="46"/>
      <c r="H512" s="33">
        <f t="shared" si="5"/>
        <v>5000000</v>
      </c>
      <c r="J512" s="42"/>
      <c r="K512" s="42"/>
    </row>
    <row r="513" spans="1:11" s="18" customFormat="1" x14ac:dyDescent="0.2">
      <c r="A513" s="26"/>
      <c r="B513" s="26"/>
      <c r="C513" s="26"/>
      <c r="D513" s="39"/>
      <c r="E513" s="12" t="s">
        <v>508</v>
      </c>
      <c r="F513" s="25">
        <v>0</v>
      </c>
      <c r="G513" s="46"/>
      <c r="H513" s="33">
        <f t="shared" si="5"/>
        <v>0</v>
      </c>
      <c r="J513" s="42"/>
      <c r="K513" s="42"/>
    </row>
    <row r="514" spans="1:11" s="18" customFormat="1" ht="37.5" x14ac:dyDescent="0.2">
      <c r="A514" s="26"/>
      <c r="B514" s="26"/>
      <c r="C514" s="26"/>
      <c r="D514" s="39"/>
      <c r="E514" s="43" t="s">
        <v>509</v>
      </c>
      <c r="F514" s="25">
        <v>20000000</v>
      </c>
      <c r="G514" s="46">
        <f>-9486+8000000-1550800+1490000</f>
        <v>7929714</v>
      </c>
      <c r="H514" s="33">
        <f t="shared" si="5"/>
        <v>27929714</v>
      </c>
      <c r="J514" s="42"/>
      <c r="K514" s="42"/>
    </row>
    <row r="515" spans="1:11" s="18" customFormat="1" x14ac:dyDescent="0.2">
      <c r="A515" s="26"/>
      <c r="B515" s="26"/>
      <c r="C515" s="26"/>
      <c r="D515" s="39"/>
      <c r="E515" s="41" t="s">
        <v>707</v>
      </c>
      <c r="F515" s="46">
        <v>12288</v>
      </c>
      <c r="G515" s="46">
        <f>900000+3589248-2976000-300000+766653</f>
        <v>1979901</v>
      </c>
      <c r="H515" s="33">
        <f>F515+G515</f>
        <v>1992189</v>
      </c>
      <c r="J515" s="42"/>
      <c r="K515" s="42"/>
    </row>
    <row r="516" spans="1:11" s="18" customFormat="1" ht="37.5" x14ac:dyDescent="0.2">
      <c r="A516" s="26"/>
      <c r="B516" s="26"/>
      <c r="C516" s="26"/>
      <c r="D516" s="39"/>
      <c r="E516" s="41" t="s">
        <v>522</v>
      </c>
      <c r="F516" s="25">
        <v>2130000</v>
      </c>
      <c r="G516" s="46">
        <f>-1000000</f>
        <v>-1000000</v>
      </c>
      <c r="H516" s="33">
        <f t="shared" si="5"/>
        <v>1130000</v>
      </c>
      <c r="J516" s="42"/>
      <c r="K516" s="42"/>
    </row>
    <row r="517" spans="1:11" s="18" customFormat="1" x14ac:dyDescent="0.2">
      <c r="A517" s="26"/>
      <c r="B517" s="26"/>
      <c r="C517" s="26"/>
      <c r="D517" s="39"/>
      <c r="E517" s="12" t="s">
        <v>510</v>
      </c>
      <c r="F517" s="25">
        <v>0</v>
      </c>
      <c r="G517" s="46"/>
      <c r="H517" s="33">
        <f t="shared" si="5"/>
        <v>0</v>
      </c>
      <c r="J517" s="42"/>
      <c r="K517" s="42"/>
    </row>
    <row r="518" spans="1:11" s="18" customFormat="1" ht="37.5" x14ac:dyDescent="0.2">
      <c r="A518" s="26"/>
      <c r="B518" s="26"/>
      <c r="C518" s="26"/>
      <c r="D518" s="39"/>
      <c r="E518" s="41" t="s">
        <v>523</v>
      </c>
      <c r="F518" s="25">
        <v>600000</v>
      </c>
      <c r="G518" s="46"/>
      <c r="H518" s="33">
        <f t="shared" si="5"/>
        <v>600000</v>
      </c>
      <c r="J518" s="42"/>
      <c r="K518" s="42"/>
    </row>
    <row r="519" spans="1:11" s="18" customFormat="1" ht="37.5" x14ac:dyDescent="0.2">
      <c r="A519" s="26"/>
      <c r="B519" s="26"/>
      <c r="C519" s="26"/>
      <c r="D519" s="39"/>
      <c r="E519" s="41" t="s">
        <v>23</v>
      </c>
      <c r="F519" s="25">
        <v>100000</v>
      </c>
      <c r="G519" s="46"/>
      <c r="H519" s="33">
        <f t="shared" si="5"/>
        <v>100000</v>
      </c>
      <c r="J519" s="42"/>
      <c r="K519" s="42"/>
    </row>
    <row r="520" spans="1:11" s="18" customFormat="1" ht="37.5" x14ac:dyDescent="0.2">
      <c r="A520" s="26"/>
      <c r="B520" s="26"/>
      <c r="C520" s="26"/>
      <c r="D520" s="39"/>
      <c r="E520" s="41" t="s">
        <v>24</v>
      </c>
      <c r="F520" s="25">
        <v>45000</v>
      </c>
      <c r="G520" s="46"/>
      <c r="H520" s="33">
        <f t="shared" si="5"/>
        <v>45000</v>
      </c>
      <c r="J520" s="42"/>
      <c r="K520" s="42"/>
    </row>
    <row r="521" spans="1:11" s="18" customFormat="1" ht="37.5" x14ac:dyDescent="0.2">
      <c r="A521" s="26"/>
      <c r="B521" s="26"/>
      <c r="C521" s="26"/>
      <c r="D521" s="39"/>
      <c r="E521" s="41" t="s">
        <v>22</v>
      </c>
      <c r="F521" s="25">
        <v>50000</v>
      </c>
      <c r="G521" s="46"/>
      <c r="H521" s="33">
        <f t="shared" si="5"/>
        <v>50000</v>
      </c>
      <c r="J521" s="42"/>
      <c r="K521" s="42"/>
    </row>
    <row r="522" spans="1:11" s="18" customFormat="1" ht="37.5" x14ac:dyDescent="0.2">
      <c r="A522" s="26"/>
      <c r="B522" s="26"/>
      <c r="C522" s="26"/>
      <c r="D522" s="39"/>
      <c r="E522" s="41" t="s">
        <v>524</v>
      </c>
      <c r="F522" s="25">
        <v>4000000</v>
      </c>
      <c r="G522" s="30">
        <f>-229020</f>
        <v>-229020</v>
      </c>
      <c r="H522" s="33">
        <f t="shared" si="5"/>
        <v>3770980</v>
      </c>
      <c r="J522" s="42"/>
      <c r="K522" s="42"/>
    </row>
    <row r="523" spans="1:11" ht="26.25" customHeight="1" x14ac:dyDescent="0.2">
      <c r="A523" s="24"/>
      <c r="B523" s="119"/>
      <c r="C523" s="119"/>
      <c r="D523" s="121"/>
      <c r="E523" s="73" t="s">
        <v>64</v>
      </c>
      <c r="F523" s="33"/>
      <c r="G523" s="33">
        <v>10000</v>
      </c>
      <c r="H523" s="33">
        <f t="shared" si="5"/>
        <v>10000</v>
      </c>
    </row>
    <row r="524" spans="1:11" s="18" customFormat="1" ht="37.5" x14ac:dyDescent="0.2">
      <c r="A524" s="26" t="s">
        <v>306</v>
      </c>
      <c r="B524" s="26" t="s">
        <v>307</v>
      </c>
      <c r="C524" s="26" t="s">
        <v>308</v>
      </c>
      <c r="D524" s="39" t="s">
        <v>309</v>
      </c>
      <c r="E524" s="12"/>
      <c r="F524" s="30">
        <f>SUM(F525:F554)</f>
        <v>260190310</v>
      </c>
      <c r="G524" s="30">
        <f>SUM(G525:G554)</f>
        <v>-114702941</v>
      </c>
      <c r="H524" s="30">
        <f t="shared" si="5"/>
        <v>145487369</v>
      </c>
      <c r="J524" s="42"/>
      <c r="K524" s="42"/>
    </row>
    <row r="525" spans="1:11" s="18" customFormat="1" x14ac:dyDescent="0.2">
      <c r="A525" s="26"/>
      <c r="B525" s="26"/>
      <c r="C525" s="26"/>
      <c r="D525" s="39"/>
      <c r="E525" s="12" t="s">
        <v>542</v>
      </c>
      <c r="F525" s="30"/>
      <c r="G525" s="30"/>
      <c r="H525" s="33">
        <f t="shared" si="5"/>
        <v>0</v>
      </c>
      <c r="J525" s="42"/>
      <c r="K525" s="42"/>
    </row>
    <row r="526" spans="1:11" s="18" customFormat="1" x14ac:dyDescent="0.2">
      <c r="A526" s="26"/>
      <c r="B526" s="26"/>
      <c r="C526" s="26"/>
      <c r="D526" s="39"/>
      <c r="E526" s="41" t="s">
        <v>525</v>
      </c>
      <c r="F526" s="25">
        <v>1442000</v>
      </c>
      <c r="G526" s="33"/>
      <c r="H526" s="189">
        <f t="shared" si="5"/>
        <v>1442000</v>
      </c>
      <c r="J526" s="42"/>
      <c r="K526" s="42"/>
    </row>
    <row r="527" spans="1:11" s="18" customFormat="1" ht="56.25" x14ac:dyDescent="0.2">
      <c r="A527" s="26"/>
      <c r="B527" s="26"/>
      <c r="C527" s="26"/>
      <c r="D527" s="39"/>
      <c r="E527" s="184" t="s">
        <v>105</v>
      </c>
      <c r="F527" s="25">
        <v>100000</v>
      </c>
      <c r="G527" s="33"/>
      <c r="H527" s="189">
        <f t="shared" si="5"/>
        <v>100000</v>
      </c>
      <c r="J527" s="42"/>
      <c r="K527" s="42"/>
    </row>
    <row r="528" spans="1:11" s="18" customFormat="1" ht="37.5" x14ac:dyDescent="0.2">
      <c r="A528" s="26"/>
      <c r="B528" s="26"/>
      <c r="C528" s="26"/>
      <c r="D528" s="39"/>
      <c r="E528" s="41" t="s">
        <v>17</v>
      </c>
      <c r="F528" s="25">
        <v>14153874</v>
      </c>
      <c r="G528" s="33">
        <f>850643+4344089+351973</f>
        <v>5546705</v>
      </c>
      <c r="H528" s="189">
        <f t="shared" si="5"/>
        <v>19700579</v>
      </c>
      <c r="J528" s="42"/>
      <c r="K528" s="42"/>
    </row>
    <row r="529" spans="1:11" s="18" customFormat="1" ht="37.5" x14ac:dyDescent="0.2">
      <c r="A529" s="26"/>
      <c r="B529" s="26"/>
      <c r="C529" s="26"/>
      <c r="D529" s="39"/>
      <c r="E529" s="41" t="s">
        <v>526</v>
      </c>
      <c r="F529" s="25">
        <v>716000</v>
      </c>
      <c r="G529" s="33"/>
      <c r="H529" s="189">
        <f t="shared" si="5"/>
        <v>716000</v>
      </c>
      <c r="J529" s="42"/>
      <c r="K529" s="42"/>
    </row>
    <row r="530" spans="1:11" s="18" customFormat="1" ht="75" x14ac:dyDescent="0.2">
      <c r="A530" s="26"/>
      <c r="B530" s="26"/>
      <c r="C530" s="26"/>
      <c r="D530" s="39"/>
      <c r="E530" s="41" t="s">
        <v>532</v>
      </c>
      <c r="F530" s="25">
        <f>137226056-1000000</f>
        <v>136226056</v>
      </c>
      <c r="G530" s="33">
        <f>-200000-200000-835000-18315-199000-249900-250000-1500000-1000000-280000-200000-155000-7000000-802859-920000-2494900-48000-45000-109420-698000-300000-246000-160000-195000-98000-290000-49990-300000-1265000-200000-80000-800000-250000-100000-120000-800000-100000-500000-100000-36000-3500000-49000-270000-48500-620900-197625-95000-49860-17000-49900-195000-300000-1200000-1881802-755000-10000-212790-513800-2475100-3960000-50000-350000-100000-198000-2000000-728600-84000-551699-49900-80000-553840-500000-417991-8000000-4453-1000000+300000-500000-49900-1168841-90000-100000-111350-3522784-469040-3000000-1370000-848900-700000-671000-300000-130519-500000-365000-2230000-340000-1700000-300000-300000-7100000-79000-520000-1658500-1049000-4493000-3909130-1500000-626718-1300000-30400000-259489</f>
        <v>-125627315</v>
      </c>
      <c r="H530" s="33">
        <f t="shared" si="5"/>
        <v>10598741</v>
      </c>
      <c r="J530" s="210"/>
      <c r="K530" s="42">
        <v>118681672</v>
      </c>
    </row>
    <row r="531" spans="1:11" s="18" customFormat="1" ht="93.75" x14ac:dyDescent="0.2">
      <c r="A531" s="26"/>
      <c r="B531" s="26"/>
      <c r="C531" s="26"/>
      <c r="D531" s="39"/>
      <c r="E531" s="41" t="s">
        <v>531</v>
      </c>
      <c r="F531" s="25">
        <v>29969664</v>
      </c>
      <c r="G531" s="33"/>
      <c r="H531" s="189">
        <f t="shared" si="5"/>
        <v>29969664</v>
      </c>
      <c r="J531" s="42"/>
      <c r="K531" s="42"/>
    </row>
    <row r="532" spans="1:11" s="18" customFormat="1" ht="75" x14ac:dyDescent="0.2">
      <c r="A532" s="26"/>
      <c r="B532" s="26"/>
      <c r="C532" s="26"/>
      <c r="D532" s="39"/>
      <c r="E532" s="41" t="s">
        <v>451</v>
      </c>
      <c r="F532" s="25">
        <v>27575616</v>
      </c>
      <c r="G532" s="33">
        <f>997735+2971853+3998679-1953448+450000+889701+800000+1280182+1845132+2512288</f>
        <v>13792122</v>
      </c>
      <c r="H532" s="189">
        <f t="shared" si="5"/>
        <v>41367738</v>
      </c>
      <c r="J532" s="42"/>
      <c r="K532" s="42"/>
    </row>
    <row r="533" spans="1:11" s="18" customFormat="1" x14ac:dyDescent="0.2">
      <c r="A533" s="26"/>
      <c r="B533" s="26"/>
      <c r="C533" s="26"/>
      <c r="D533" s="39"/>
      <c r="E533" s="12" t="s">
        <v>543</v>
      </c>
      <c r="F533" s="25">
        <v>0</v>
      </c>
      <c r="G533" s="33"/>
      <c r="H533" s="33">
        <f t="shared" si="5"/>
        <v>0</v>
      </c>
      <c r="J533" s="42"/>
      <c r="K533" s="42"/>
    </row>
    <row r="534" spans="1:11" s="18" customFormat="1" ht="93.75" x14ac:dyDescent="0.2">
      <c r="A534" s="26"/>
      <c r="B534" s="26"/>
      <c r="C534" s="26"/>
      <c r="D534" s="39"/>
      <c r="E534" s="41" t="s">
        <v>527</v>
      </c>
      <c r="F534" s="25">
        <v>3600000</v>
      </c>
      <c r="G534" s="33">
        <f>200000</f>
        <v>200000</v>
      </c>
      <c r="H534" s="189">
        <f t="shared" si="5"/>
        <v>3800000</v>
      </c>
      <c r="J534" s="42"/>
      <c r="K534" s="42"/>
    </row>
    <row r="535" spans="1:11" s="18" customFormat="1" ht="37.5" x14ac:dyDescent="0.2">
      <c r="A535" s="26"/>
      <c r="B535" s="26"/>
      <c r="C535" s="26"/>
      <c r="D535" s="39"/>
      <c r="E535" s="41" t="s">
        <v>528</v>
      </c>
      <c r="F535" s="25">
        <v>8472000</v>
      </c>
      <c r="G535" s="33">
        <f>-25576</f>
        <v>-25576</v>
      </c>
      <c r="H535" s="189">
        <f t="shared" si="5"/>
        <v>8446424</v>
      </c>
      <c r="J535" s="42"/>
      <c r="K535" s="42"/>
    </row>
    <row r="536" spans="1:11" s="18" customFormat="1" ht="37.5" x14ac:dyDescent="0.2">
      <c r="A536" s="26"/>
      <c r="B536" s="26"/>
      <c r="C536" s="26"/>
      <c r="D536" s="39"/>
      <c r="E536" s="41" t="s">
        <v>529</v>
      </c>
      <c r="F536" s="25">
        <v>5000000</v>
      </c>
      <c r="G536" s="33">
        <f>-900000-766653</f>
        <v>-1666653</v>
      </c>
      <c r="H536" s="189">
        <f t="shared" si="5"/>
        <v>3333347</v>
      </c>
      <c r="J536" s="42"/>
      <c r="K536" s="42"/>
    </row>
    <row r="537" spans="1:11" s="18" customFormat="1" ht="37.5" x14ac:dyDescent="0.2">
      <c r="A537" s="26"/>
      <c r="B537" s="26"/>
      <c r="C537" s="26"/>
      <c r="D537" s="39"/>
      <c r="E537" s="41" t="s">
        <v>668</v>
      </c>
      <c r="F537" s="25">
        <v>1800000</v>
      </c>
      <c r="G537" s="33">
        <f>-2224</f>
        <v>-2224</v>
      </c>
      <c r="H537" s="189">
        <f t="shared" si="5"/>
        <v>1797776</v>
      </c>
      <c r="J537" s="42"/>
      <c r="K537" s="42"/>
    </row>
    <row r="538" spans="1:11" s="18" customFormat="1" ht="56.25" x14ac:dyDescent="0.2">
      <c r="A538" s="26"/>
      <c r="B538" s="26"/>
      <c r="C538" s="26"/>
      <c r="D538" s="39"/>
      <c r="E538" s="41" t="s">
        <v>530</v>
      </c>
      <c r="F538" s="25">
        <v>2653000</v>
      </c>
      <c r="G538" s="33">
        <f>-1000000</f>
        <v>-1000000</v>
      </c>
      <c r="H538" s="189">
        <f t="shared" si="5"/>
        <v>1653000</v>
      </c>
      <c r="J538" s="42"/>
      <c r="K538" s="42"/>
    </row>
    <row r="539" spans="1:11" s="18" customFormat="1" ht="56.25" x14ac:dyDescent="0.2">
      <c r="A539" s="26"/>
      <c r="B539" s="26"/>
      <c r="C539" s="26"/>
      <c r="D539" s="39"/>
      <c r="E539" s="41" t="s">
        <v>201</v>
      </c>
      <c r="F539" s="25">
        <v>1522000</v>
      </c>
      <c r="G539" s="33">
        <f>80000</f>
        <v>80000</v>
      </c>
      <c r="H539" s="189">
        <f t="shared" si="5"/>
        <v>1602000</v>
      </c>
      <c r="J539" s="42"/>
      <c r="K539" s="42"/>
    </row>
    <row r="540" spans="1:11" s="18" customFormat="1" ht="37.5" x14ac:dyDescent="0.2">
      <c r="A540" s="26"/>
      <c r="B540" s="26"/>
      <c r="C540" s="26"/>
      <c r="D540" s="39"/>
      <c r="E540" s="41" t="s">
        <v>533</v>
      </c>
      <c r="F540" s="25">
        <v>500000</v>
      </c>
      <c r="G540" s="33"/>
      <c r="H540" s="189">
        <f t="shared" si="5"/>
        <v>500000</v>
      </c>
      <c r="J540" s="42"/>
      <c r="K540" s="42"/>
    </row>
    <row r="541" spans="1:11" s="18" customFormat="1" ht="37.5" x14ac:dyDescent="0.2">
      <c r="A541" s="26"/>
      <c r="B541" s="26"/>
      <c r="C541" s="26"/>
      <c r="D541" s="39"/>
      <c r="E541" s="41" t="s">
        <v>667</v>
      </c>
      <c r="F541" s="25">
        <v>1000000</v>
      </c>
      <c r="G541" s="51"/>
      <c r="H541" s="189">
        <f t="shared" si="5"/>
        <v>1000000</v>
      </c>
      <c r="J541" s="42"/>
      <c r="K541" s="42"/>
    </row>
    <row r="542" spans="1:11" s="18" customFormat="1" ht="37.5" x14ac:dyDescent="0.2">
      <c r="A542" s="26"/>
      <c r="B542" s="26"/>
      <c r="C542" s="26"/>
      <c r="D542" s="39"/>
      <c r="E542" s="41" t="s">
        <v>534</v>
      </c>
      <c r="F542" s="25">
        <v>5000000</v>
      </c>
      <c r="G542" s="33">
        <f>-2000000</f>
        <v>-2000000</v>
      </c>
      <c r="H542" s="189">
        <f t="shared" si="5"/>
        <v>3000000</v>
      </c>
      <c r="J542" s="42"/>
      <c r="K542" s="42"/>
    </row>
    <row r="543" spans="1:11" s="18" customFormat="1" ht="56.25" x14ac:dyDescent="0.2">
      <c r="A543" s="26"/>
      <c r="B543" s="26"/>
      <c r="C543" s="26"/>
      <c r="D543" s="39"/>
      <c r="E543" s="41" t="s">
        <v>535</v>
      </c>
      <c r="F543" s="25">
        <v>100000</v>
      </c>
      <c r="G543" s="33"/>
      <c r="H543" s="189">
        <f t="shared" si="5"/>
        <v>100000</v>
      </c>
      <c r="J543" s="42"/>
      <c r="K543" s="42"/>
    </row>
    <row r="544" spans="1:11" s="18" customFormat="1" ht="37.5" x14ac:dyDescent="0.2">
      <c r="A544" s="26"/>
      <c r="B544" s="26"/>
      <c r="C544" s="26"/>
      <c r="D544" s="39"/>
      <c r="E544" s="41" t="s">
        <v>539</v>
      </c>
      <c r="F544" s="25">
        <v>430000</v>
      </c>
      <c r="G544" s="33"/>
      <c r="H544" s="189">
        <f t="shared" si="5"/>
        <v>430000</v>
      </c>
      <c r="J544" s="42"/>
      <c r="K544" s="42"/>
    </row>
    <row r="545" spans="1:11" s="18" customFormat="1" ht="37.5" x14ac:dyDescent="0.2">
      <c r="A545" s="26"/>
      <c r="B545" s="26"/>
      <c r="C545" s="26"/>
      <c r="D545" s="39"/>
      <c r="E545" s="41" t="s">
        <v>540</v>
      </c>
      <c r="F545" s="25">
        <v>170000</v>
      </c>
      <c r="G545" s="33"/>
      <c r="H545" s="189">
        <f t="shared" si="5"/>
        <v>170000</v>
      </c>
      <c r="J545" s="42"/>
      <c r="K545" s="42"/>
    </row>
    <row r="546" spans="1:11" s="18" customFormat="1" ht="37.5" x14ac:dyDescent="0.2">
      <c r="A546" s="26"/>
      <c r="B546" s="26"/>
      <c r="C546" s="26"/>
      <c r="D546" s="39"/>
      <c r="E546" s="41" t="s">
        <v>650</v>
      </c>
      <c r="F546" s="25">
        <v>787100</v>
      </c>
      <c r="G546" s="33"/>
      <c r="H546" s="189">
        <f t="shared" si="5"/>
        <v>787100</v>
      </c>
      <c r="J546" s="42"/>
      <c r="K546" s="42"/>
    </row>
    <row r="547" spans="1:11" s="18" customFormat="1" ht="37.5" x14ac:dyDescent="0.2">
      <c r="A547" s="26"/>
      <c r="B547" s="26"/>
      <c r="C547" s="26"/>
      <c r="D547" s="39"/>
      <c r="E547" s="43" t="s">
        <v>541</v>
      </c>
      <c r="F547" s="25">
        <v>1500000</v>
      </c>
      <c r="G547" s="46"/>
      <c r="H547" s="189">
        <f t="shared" si="5"/>
        <v>1500000</v>
      </c>
      <c r="J547" s="42"/>
      <c r="K547" s="42"/>
    </row>
    <row r="548" spans="1:11" s="18" customFormat="1" ht="56.25" x14ac:dyDescent="0.2">
      <c r="A548" s="26"/>
      <c r="B548" s="26"/>
      <c r="C548" s="26"/>
      <c r="D548" s="39"/>
      <c r="E548" s="43" t="s">
        <v>669</v>
      </c>
      <c r="F548" s="25">
        <v>1500000</v>
      </c>
      <c r="G548" s="46"/>
      <c r="H548" s="189">
        <f t="shared" si="5"/>
        <v>1500000</v>
      </c>
      <c r="J548" s="42"/>
      <c r="K548" s="42"/>
    </row>
    <row r="549" spans="1:11" s="18" customFormat="1" x14ac:dyDescent="0.2">
      <c r="A549" s="26"/>
      <c r="B549" s="26"/>
      <c r="C549" s="26"/>
      <c r="D549" s="39"/>
      <c r="E549" s="12" t="s">
        <v>544</v>
      </c>
      <c r="F549" s="25">
        <v>0</v>
      </c>
      <c r="G549" s="46"/>
      <c r="H549" s="33">
        <f t="shared" si="5"/>
        <v>0</v>
      </c>
      <c r="J549" s="42"/>
      <c r="K549" s="42"/>
    </row>
    <row r="550" spans="1:11" s="18" customFormat="1" x14ac:dyDescent="0.2">
      <c r="A550" s="26"/>
      <c r="B550" s="26"/>
      <c r="C550" s="26"/>
      <c r="D550" s="39"/>
      <c r="E550" s="41" t="s">
        <v>536</v>
      </c>
      <c r="F550" s="25">
        <v>150000</v>
      </c>
      <c r="G550" s="46"/>
      <c r="H550" s="189">
        <f t="shared" si="5"/>
        <v>150000</v>
      </c>
      <c r="J550" s="42"/>
      <c r="K550" s="42"/>
    </row>
    <row r="551" spans="1:11" s="18" customFormat="1" x14ac:dyDescent="0.2">
      <c r="A551" s="26"/>
      <c r="B551" s="26"/>
      <c r="C551" s="26"/>
      <c r="D551" s="39"/>
      <c r="E551" s="41" t="s">
        <v>537</v>
      </c>
      <c r="F551" s="25">
        <v>13173000</v>
      </c>
      <c r="G551" s="46">
        <f>-4000000</f>
        <v>-4000000</v>
      </c>
      <c r="H551" s="189">
        <f t="shared" si="5"/>
        <v>9173000</v>
      </c>
      <c r="J551" s="42"/>
      <c r="K551" s="42"/>
    </row>
    <row r="552" spans="1:11" s="18" customFormat="1" x14ac:dyDescent="0.2">
      <c r="A552" s="26"/>
      <c r="B552" s="26"/>
      <c r="C552" s="26"/>
      <c r="D552" s="39"/>
      <c r="E552" s="12" t="s">
        <v>545</v>
      </c>
      <c r="F552" s="25">
        <v>0</v>
      </c>
      <c r="G552" s="46"/>
      <c r="H552" s="33">
        <f t="shared" si="5"/>
        <v>0</v>
      </c>
      <c r="J552" s="42"/>
      <c r="K552" s="42"/>
    </row>
    <row r="553" spans="1:11" s="18" customFormat="1" ht="56.25" x14ac:dyDescent="0.2">
      <c r="A553" s="26"/>
      <c r="B553" s="26"/>
      <c r="C553" s="26"/>
      <c r="D553" s="39"/>
      <c r="E553" s="41" t="s">
        <v>538</v>
      </c>
      <c r="F553" s="25">
        <v>2000000</v>
      </c>
      <c r="G553" s="46"/>
      <c r="H553" s="189">
        <f t="shared" si="5"/>
        <v>2000000</v>
      </c>
      <c r="J553" s="42"/>
      <c r="K553" s="42"/>
    </row>
    <row r="554" spans="1:11" s="18" customFormat="1" ht="37.5" x14ac:dyDescent="0.2">
      <c r="A554" s="26"/>
      <c r="B554" s="26"/>
      <c r="C554" s="26"/>
      <c r="D554" s="39"/>
      <c r="E554" s="41" t="s">
        <v>20</v>
      </c>
      <c r="F554" s="25">
        <v>650000</v>
      </c>
      <c r="G554" s="46"/>
      <c r="H554" s="189">
        <f t="shared" si="5"/>
        <v>650000</v>
      </c>
      <c r="J554" s="42"/>
      <c r="K554" s="42"/>
    </row>
    <row r="555" spans="1:11" s="52" customFormat="1" x14ac:dyDescent="0.2">
      <c r="A555" s="26" t="s">
        <v>341</v>
      </c>
      <c r="B555" s="26" t="s">
        <v>335</v>
      </c>
      <c r="C555" s="26" t="s">
        <v>308</v>
      </c>
      <c r="D555" s="39" t="s">
        <v>336</v>
      </c>
      <c r="E555" s="40"/>
      <c r="F555" s="51">
        <f>SUM(F556:F573)</f>
        <v>70536655</v>
      </c>
      <c r="G555" s="51">
        <f>SUM(G556:G573)</f>
        <v>1581871</v>
      </c>
      <c r="H555" s="30">
        <f t="shared" si="5"/>
        <v>72118526</v>
      </c>
      <c r="J555" s="53"/>
      <c r="K555" s="53"/>
    </row>
    <row r="556" spans="1:11" s="52" customFormat="1" x14ac:dyDescent="0.2">
      <c r="A556" s="26"/>
      <c r="B556" s="26"/>
      <c r="C556" s="26"/>
      <c r="D556" s="39"/>
      <c r="E556" s="19" t="s">
        <v>558</v>
      </c>
      <c r="F556" s="51"/>
      <c r="G556" s="80"/>
      <c r="H556" s="33">
        <f t="shared" si="5"/>
        <v>0</v>
      </c>
      <c r="J556" s="53"/>
      <c r="K556" s="53"/>
    </row>
    <row r="557" spans="1:11" s="52" customFormat="1" x14ac:dyDescent="0.2">
      <c r="A557" s="26"/>
      <c r="B557" s="26"/>
      <c r="C557" s="26"/>
      <c r="D557" s="39"/>
      <c r="E557" s="41" t="s">
        <v>546</v>
      </c>
      <c r="F557" s="25">
        <v>2487000</v>
      </c>
      <c r="G557" s="25"/>
      <c r="H557" s="33">
        <f t="shared" si="5"/>
        <v>2487000</v>
      </c>
      <c r="J557" s="53"/>
      <c r="K557" s="53"/>
    </row>
    <row r="558" spans="1:11" s="18" customFormat="1" x14ac:dyDescent="0.2">
      <c r="A558" s="26"/>
      <c r="B558" s="26"/>
      <c r="C558" s="26"/>
      <c r="D558" s="39"/>
      <c r="E558" s="41" t="s">
        <v>547</v>
      </c>
      <c r="F558" s="25">
        <v>15268000</v>
      </c>
      <c r="G558" s="25">
        <f>-173920-444099+677525+925008</f>
        <v>984514</v>
      </c>
      <c r="H558" s="33">
        <f t="shared" si="5"/>
        <v>16252514</v>
      </c>
      <c r="J558" s="42"/>
      <c r="K558" s="42"/>
    </row>
    <row r="559" spans="1:11" s="18" customFormat="1" x14ac:dyDescent="0.2">
      <c r="A559" s="26"/>
      <c r="B559" s="26"/>
      <c r="C559" s="26"/>
      <c r="D559" s="39"/>
      <c r="E559" s="41" t="s">
        <v>16</v>
      </c>
      <c r="F559" s="25">
        <v>10000000</v>
      </c>
      <c r="G559" s="25"/>
      <c r="H559" s="33">
        <f t="shared" si="5"/>
        <v>10000000</v>
      </c>
      <c r="J559" s="42"/>
      <c r="K559" s="42"/>
    </row>
    <row r="560" spans="1:11" s="18" customFormat="1" ht="37.5" x14ac:dyDescent="0.2">
      <c r="A560" s="26"/>
      <c r="B560" s="26"/>
      <c r="C560" s="26"/>
      <c r="D560" s="39"/>
      <c r="E560" s="41" t="s">
        <v>548</v>
      </c>
      <c r="F560" s="25">
        <v>3000000</v>
      </c>
      <c r="G560" s="25">
        <f>-1000000</f>
        <v>-1000000</v>
      </c>
      <c r="H560" s="33">
        <f t="shared" si="5"/>
        <v>2000000</v>
      </c>
      <c r="J560" s="42"/>
      <c r="K560" s="42"/>
    </row>
    <row r="561" spans="1:11" s="18" customFormat="1" ht="37.5" x14ac:dyDescent="0.2">
      <c r="A561" s="26"/>
      <c r="B561" s="26"/>
      <c r="C561" s="26"/>
      <c r="D561" s="39"/>
      <c r="E561" s="41" t="s">
        <v>549</v>
      </c>
      <c r="F561" s="25">
        <v>250000</v>
      </c>
      <c r="G561" s="25"/>
      <c r="H561" s="33">
        <f t="shared" si="5"/>
        <v>250000</v>
      </c>
      <c r="J561" s="42"/>
      <c r="K561" s="42"/>
    </row>
    <row r="562" spans="1:11" s="18" customFormat="1" ht="37.5" x14ac:dyDescent="0.2">
      <c r="A562" s="26"/>
      <c r="B562" s="26"/>
      <c r="C562" s="26"/>
      <c r="D562" s="39"/>
      <c r="E562" s="41" t="s">
        <v>550</v>
      </c>
      <c r="F562" s="25">
        <v>350000</v>
      </c>
      <c r="G562" s="33"/>
      <c r="H562" s="33">
        <f t="shared" si="5"/>
        <v>350000</v>
      </c>
      <c r="J562" s="42"/>
      <c r="K562" s="42"/>
    </row>
    <row r="563" spans="1:11" s="18" customFormat="1" ht="37.5" x14ac:dyDescent="0.2">
      <c r="A563" s="26"/>
      <c r="B563" s="26"/>
      <c r="C563" s="26"/>
      <c r="D563" s="39"/>
      <c r="E563" s="230" t="s">
        <v>236</v>
      </c>
      <c r="F563" s="25"/>
      <c r="G563" s="33">
        <f>300000</f>
        <v>300000</v>
      </c>
      <c r="H563" s="33">
        <f t="shared" si="5"/>
        <v>300000</v>
      </c>
      <c r="J563" s="42"/>
      <c r="K563" s="42"/>
    </row>
    <row r="564" spans="1:11" s="18" customFormat="1" ht="37.5" x14ac:dyDescent="0.2">
      <c r="A564" s="26"/>
      <c r="B564" s="26"/>
      <c r="C564" s="26"/>
      <c r="D564" s="39"/>
      <c r="E564" s="41" t="s">
        <v>551</v>
      </c>
      <c r="F564" s="25">
        <v>5000000</v>
      </c>
      <c r="G564" s="33"/>
      <c r="H564" s="33">
        <f t="shared" si="5"/>
        <v>5000000</v>
      </c>
      <c r="J564" s="42"/>
      <c r="K564" s="42"/>
    </row>
    <row r="565" spans="1:11" s="18" customFormat="1" ht="56.25" x14ac:dyDescent="0.2">
      <c r="A565" s="26"/>
      <c r="B565" s="26"/>
      <c r="C565" s="26"/>
      <c r="D565" s="39"/>
      <c r="E565" s="184" t="s">
        <v>162</v>
      </c>
      <c r="F565" s="25"/>
      <c r="G565" s="33">
        <f>835000</f>
        <v>835000</v>
      </c>
      <c r="H565" s="33">
        <f t="shared" si="5"/>
        <v>835000</v>
      </c>
      <c r="J565" s="42"/>
      <c r="K565" s="42"/>
    </row>
    <row r="566" spans="1:11" s="18" customFormat="1" ht="75" x14ac:dyDescent="0.2">
      <c r="A566" s="26"/>
      <c r="B566" s="26"/>
      <c r="C566" s="26"/>
      <c r="D566" s="39"/>
      <c r="E566" s="41" t="s">
        <v>552</v>
      </c>
      <c r="F566" s="25">
        <v>1000000</v>
      </c>
      <c r="G566" s="33"/>
      <c r="H566" s="33">
        <f t="shared" si="5"/>
        <v>1000000</v>
      </c>
      <c r="J566" s="42"/>
      <c r="K566" s="42"/>
    </row>
    <row r="567" spans="1:11" s="18" customFormat="1" ht="37.5" x14ac:dyDescent="0.2">
      <c r="A567" s="26"/>
      <c r="B567" s="26"/>
      <c r="C567" s="26"/>
      <c r="D567" s="39"/>
      <c r="E567" s="41" t="s">
        <v>557</v>
      </c>
      <c r="F567" s="25">
        <v>19231655</v>
      </c>
      <c r="G567" s="33">
        <f>-537643</f>
        <v>-537643</v>
      </c>
      <c r="H567" s="33">
        <f t="shared" si="5"/>
        <v>18694012</v>
      </c>
      <c r="J567" s="42"/>
      <c r="K567" s="42"/>
    </row>
    <row r="568" spans="1:11" s="18" customFormat="1" x14ac:dyDescent="0.2">
      <c r="A568" s="26"/>
      <c r="B568" s="26"/>
      <c r="C568" s="26"/>
      <c r="D568" s="39"/>
      <c r="E568" s="12" t="s">
        <v>559</v>
      </c>
      <c r="F568" s="25">
        <v>0</v>
      </c>
      <c r="G568" s="33"/>
      <c r="H568" s="33">
        <f t="shared" si="5"/>
        <v>0</v>
      </c>
      <c r="J568" s="42"/>
      <c r="K568" s="42"/>
    </row>
    <row r="569" spans="1:11" s="18" customFormat="1" ht="37.5" x14ac:dyDescent="0.2">
      <c r="A569" s="26"/>
      <c r="B569" s="26"/>
      <c r="C569" s="26"/>
      <c r="D569" s="39"/>
      <c r="E569" s="41" t="s">
        <v>553</v>
      </c>
      <c r="F569" s="25">
        <v>500000</v>
      </c>
      <c r="G569" s="33"/>
      <c r="H569" s="33">
        <f t="shared" si="5"/>
        <v>500000</v>
      </c>
      <c r="J569" s="42"/>
      <c r="K569" s="42"/>
    </row>
    <row r="570" spans="1:11" s="18" customFormat="1" ht="37.5" x14ac:dyDescent="0.2">
      <c r="A570" s="26"/>
      <c r="B570" s="26"/>
      <c r="C570" s="26"/>
      <c r="D570" s="39"/>
      <c r="E570" s="41" t="s">
        <v>554</v>
      </c>
      <c r="F570" s="25">
        <v>400000</v>
      </c>
      <c r="G570" s="33"/>
      <c r="H570" s="33">
        <f t="shared" si="5"/>
        <v>400000</v>
      </c>
      <c r="J570" s="42"/>
      <c r="K570" s="42"/>
    </row>
    <row r="571" spans="1:11" s="18" customFormat="1" x14ac:dyDescent="0.2">
      <c r="A571" s="26"/>
      <c r="B571" s="26"/>
      <c r="C571" s="26"/>
      <c r="D571" s="39"/>
      <c r="E571" s="41" t="s">
        <v>555</v>
      </c>
      <c r="F571" s="25">
        <v>13000000</v>
      </c>
      <c r="G571" s="13"/>
      <c r="H571" s="33">
        <f t="shared" si="5"/>
        <v>13000000</v>
      </c>
      <c r="J571" s="42"/>
      <c r="K571" s="42"/>
    </row>
    <row r="572" spans="1:11" s="18" customFormat="1" ht="56.25" x14ac:dyDescent="0.2">
      <c r="A572" s="26"/>
      <c r="B572" s="26"/>
      <c r="C572" s="26"/>
      <c r="D572" s="39"/>
      <c r="E572" s="184" t="s">
        <v>163</v>
      </c>
      <c r="F572" s="25"/>
      <c r="G572" s="33">
        <f>1000000</f>
        <v>1000000</v>
      </c>
      <c r="H572" s="33">
        <f t="shared" si="5"/>
        <v>1000000</v>
      </c>
      <c r="J572" s="42"/>
      <c r="K572" s="42"/>
    </row>
    <row r="573" spans="1:11" s="18" customFormat="1" ht="37.5" x14ac:dyDescent="0.2">
      <c r="A573" s="26"/>
      <c r="B573" s="26"/>
      <c r="C573" s="26"/>
      <c r="D573" s="39"/>
      <c r="E573" s="41" t="s">
        <v>556</v>
      </c>
      <c r="F573" s="25">
        <v>50000</v>
      </c>
      <c r="G573" s="33"/>
      <c r="H573" s="33">
        <f t="shared" si="5"/>
        <v>50000</v>
      </c>
      <c r="J573" s="42"/>
      <c r="K573" s="42"/>
    </row>
    <row r="574" spans="1:11" s="131" customFormat="1" x14ac:dyDescent="0.2">
      <c r="A574" s="26" t="s">
        <v>197</v>
      </c>
      <c r="B574" s="26" t="s">
        <v>198</v>
      </c>
      <c r="C574" s="26" t="s">
        <v>308</v>
      </c>
      <c r="D574" s="39" t="s">
        <v>199</v>
      </c>
      <c r="E574" s="96"/>
      <c r="F574" s="29">
        <f>SUM(F575)</f>
        <v>0</v>
      </c>
      <c r="G574" s="29">
        <f>SUM(G575)</f>
        <v>800000</v>
      </c>
      <c r="H574" s="30">
        <f t="shared" si="5"/>
        <v>800000</v>
      </c>
      <c r="J574" s="140"/>
      <c r="K574" s="140"/>
    </row>
    <row r="575" spans="1:11" s="18" customFormat="1" ht="56.25" x14ac:dyDescent="0.2">
      <c r="A575" s="90"/>
      <c r="B575" s="90"/>
      <c r="C575" s="90"/>
      <c r="D575" s="89"/>
      <c r="E575" s="184" t="s">
        <v>200</v>
      </c>
      <c r="F575" s="25"/>
      <c r="G575" s="33">
        <f>800000</f>
        <v>800000</v>
      </c>
      <c r="H575" s="33">
        <f t="shared" si="5"/>
        <v>800000</v>
      </c>
      <c r="J575" s="42"/>
      <c r="K575" s="42"/>
    </row>
    <row r="576" spans="1:11" s="18" customFormat="1" ht="27" customHeight="1" x14ac:dyDescent="0.2">
      <c r="A576" s="26" t="s">
        <v>342</v>
      </c>
      <c r="B576" s="26" t="s">
        <v>337</v>
      </c>
      <c r="C576" s="26" t="s">
        <v>308</v>
      </c>
      <c r="D576" s="39" t="s">
        <v>338</v>
      </c>
      <c r="E576" s="12"/>
      <c r="F576" s="30">
        <f>SUM(F577:F577)</f>
        <v>6856000</v>
      </c>
      <c r="G576" s="30">
        <f>SUM(G577:G577)</f>
        <v>-445602</v>
      </c>
      <c r="H576" s="30">
        <f t="shared" si="5"/>
        <v>6410398</v>
      </c>
      <c r="J576" s="42"/>
      <c r="K576" s="42"/>
    </row>
    <row r="577" spans="1:11" s="18" customFormat="1" ht="37.5" x14ac:dyDescent="0.2">
      <c r="A577" s="26"/>
      <c r="B577" s="26"/>
      <c r="C577" s="26"/>
      <c r="D577" s="39"/>
      <c r="E577" s="205" t="s">
        <v>560</v>
      </c>
      <c r="F577" s="25">
        <v>6856000</v>
      </c>
      <c r="G577" s="33">
        <f>-445602</f>
        <v>-445602</v>
      </c>
      <c r="H577" s="33">
        <f t="shared" si="5"/>
        <v>6410398</v>
      </c>
      <c r="J577" s="42"/>
      <c r="K577" s="42"/>
    </row>
    <row r="578" spans="1:11" s="18" customFormat="1" ht="37.5" x14ac:dyDescent="0.2">
      <c r="A578" s="26" t="s">
        <v>343</v>
      </c>
      <c r="B578" s="26" t="s">
        <v>339</v>
      </c>
      <c r="C578" s="26" t="s">
        <v>308</v>
      </c>
      <c r="D578" s="39" t="s">
        <v>340</v>
      </c>
      <c r="E578" s="43"/>
      <c r="F578" s="104">
        <f>SUM(F579:F579)</f>
        <v>5000000</v>
      </c>
      <c r="G578" s="104">
        <f>SUM(G579:G579)</f>
        <v>2077827</v>
      </c>
      <c r="H578" s="30">
        <f t="shared" si="5"/>
        <v>7077827</v>
      </c>
      <c r="J578" s="42"/>
      <c r="K578" s="42"/>
    </row>
    <row r="579" spans="1:11" s="18" customFormat="1" x14ac:dyDescent="0.2">
      <c r="A579" s="26"/>
      <c r="B579" s="26"/>
      <c r="C579" s="26"/>
      <c r="D579" s="39"/>
      <c r="E579" s="41" t="s">
        <v>561</v>
      </c>
      <c r="F579" s="25">
        <v>5000000</v>
      </c>
      <c r="G579" s="33">
        <f>370000+1000000+99436+308391+300000</f>
        <v>2077827</v>
      </c>
      <c r="H579" s="33">
        <f t="shared" si="5"/>
        <v>7077827</v>
      </c>
      <c r="J579" s="42"/>
      <c r="K579" s="42"/>
    </row>
    <row r="580" spans="1:11" s="18" customFormat="1" ht="36" customHeight="1" x14ac:dyDescent="0.2">
      <c r="A580" s="26" t="s">
        <v>344</v>
      </c>
      <c r="B580" s="26" t="s">
        <v>345</v>
      </c>
      <c r="C580" s="26" t="s">
        <v>308</v>
      </c>
      <c r="D580" s="39" t="s">
        <v>75</v>
      </c>
      <c r="E580" s="12"/>
      <c r="F580" s="29">
        <f>SUM(F581:F583)</f>
        <v>15500000</v>
      </c>
      <c r="G580" s="29">
        <f>SUM(G581:G583)</f>
        <v>-7105</v>
      </c>
      <c r="H580" s="30">
        <f t="shared" si="5"/>
        <v>15492895</v>
      </c>
      <c r="J580" s="42"/>
      <c r="K580" s="42"/>
    </row>
    <row r="581" spans="1:11" s="18" customFormat="1" ht="75" x14ac:dyDescent="0.2">
      <c r="A581" s="26"/>
      <c r="B581" s="26"/>
      <c r="C581" s="26"/>
      <c r="D581" s="39"/>
      <c r="E581" s="205" t="s">
        <v>640</v>
      </c>
      <c r="F581" s="25">
        <v>2000000</v>
      </c>
      <c r="G581" s="30"/>
      <c r="H581" s="33">
        <f t="shared" si="5"/>
        <v>2000000</v>
      </c>
      <c r="J581" s="42"/>
      <c r="K581" s="42"/>
    </row>
    <row r="582" spans="1:11" s="18" customFormat="1" ht="56.25" x14ac:dyDescent="0.2">
      <c r="A582" s="26"/>
      <c r="B582" s="26"/>
      <c r="C582" s="26"/>
      <c r="D582" s="39"/>
      <c r="E582" s="205" t="s">
        <v>562</v>
      </c>
      <c r="F582" s="25">
        <v>4000000</v>
      </c>
      <c r="G582" s="33"/>
      <c r="H582" s="33">
        <f t="shared" si="5"/>
        <v>4000000</v>
      </c>
      <c r="J582" s="42"/>
      <c r="K582" s="42"/>
    </row>
    <row r="583" spans="1:11" s="18" customFormat="1" ht="56.25" x14ac:dyDescent="0.2">
      <c r="A583" s="26"/>
      <c r="B583" s="26"/>
      <c r="C583" s="26"/>
      <c r="D583" s="39"/>
      <c r="E583" s="205" t="s">
        <v>563</v>
      </c>
      <c r="F583" s="25">
        <v>9500000</v>
      </c>
      <c r="G583" s="51">
        <f>-7105</f>
        <v>-7105</v>
      </c>
      <c r="H583" s="33">
        <f t="shared" si="5"/>
        <v>9492895</v>
      </c>
      <c r="J583" s="42"/>
      <c r="K583" s="42"/>
    </row>
    <row r="584" spans="1:11" s="18" customFormat="1" ht="37.5" x14ac:dyDescent="0.2">
      <c r="A584" s="26" t="s">
        <v>351</v>
      </c>
      <c r="B584" s="26" t="s">
        <v>352</v>
      </c>
      <c r="C584" s="26" t="s">
        <v>308</v>
      </c>
      <c r="D584" s="39" t="s">
        <v>353</v>
      </c>
      <c r="E584" s="132"/>
      <c r="F584" s="29">
        <f>SUM(F585:F590)</f>
        <v>25678000</v>
      </c>
      <c r="G584" s="29">
        <f>SUM(G585:G590)</f>
        <v>-860850</v>
      </c>
      <c r="H584" s="30">
        <f t="shared" si="5"/>
        <v>24817150</v>
      </c>
      <c r="J584" s="42"/>
      <c r="K584" s="42"/>
    </row>
    <row r="585" spans="1:11" s="18" customFormat="1" ht="56.25" x14ac:dyDescent="0.2">
      <c r="A585" s="26"/>
      <c r="B585" s="26"/>
      <c r="C585" s="26"/>
      <c r="D585" s="39"/>
      <c r="E585" s="41" t="s">
        <v>564</v>
      </c>
      <c r="F585" s="25">
        <v>15000000</v>
      </c>
      <c r="G585" s="51"/>
      <c r="H585" s="33">
        <f t="shared" si="5"/>
        <v>15000000</v>
      </c>
      <c r="J585" s="42"/>
      <c r="K585" s="42"/>
    </row>
    <row r="586" spans="1:11" s="18" customFormat="1" ht="75" x14ac:dyDescent="0.2">
      <c r="A586" s="26"/>
      <c r="B586" s="26"/>
      <c r="C586" s="26"/>
      <c r="D586" s="39"/>
      <c r="E586" s="41" t="s">
        <v>565</v>
      </c>
      <c r="F586" s="25">
        <v>3000000</v>
      </c>
      <c r="G586" s="33"/>
      <c r="H586" s="33">
        <f t="shared" si="5"/>
        <v>3000000</v>
      </c>
      <c r="J586" s="42"/>
      <c r="K586" s="42"/>
    </row>
    <row r="587" spans="1:11" s="18" customFormat="1" ht="75" x14ac:dyDescent="0.2">
      <c r="A587" s="26"/>
      <c r="B587" s="26"/>
      <c r="C587" s="26"/>
      <c r="D587" s="39"/>
      <c r="E587" s="41" t="s">
        <v>566</v>
      </c>
      <c r="F587" s="25">
        <v>1000000</v>
      </c>
      <c r="G587" s="51"/>
      <c r="H587" s="33">
        <f t="shared" ref="H587:H679" si="6">F587+G587</f>
        <v>1000000</v>
      </c>
      <c r="J587" s="42"/>
      <c r="K587" s="42"/>
    </row>
    <row r="588" spans="1:11" s="18" customFormat="1" ht="93.75" x14ac:dyDescent="0.2">
      <c r="A588" s="26"/>
      <c r="B588" s="26"/>
      <c r="C588" s="26"/>
      <c r="D588" s="39"/>
      <c r="E588" s="41" t="s">
        <v>683</v>
      </c>
      <c r="F588" s="46">
        <f>350000</f>
        <v>350000</v>
      </c>
      <c r="G588" s="46"/>
      <c r="H588" s="33">
        <f t="shared" si="6"/>
        <v>350000</v>
      </c>
      <c r="J588" s="42"/>
      <c r="K588" s="42"/>
    </row>
    <row r="589" spans="1:11" s="18" customFormat="1" ht="131.25" x14ac:dyDescent="0.2">
      <c r="A589" s="26"/>
      <c r="B589" s="26"/>
      <c r="C589" s="26"/>
      <c r="D589" s="39"/>
      <c r="E589" s="41" t="s">
        <v>682</v>
      </c>
      <c r="F589" s="46">
        <f>70000+70000</f>
        <v>140000</v>
      </c>
      <c r="G589" s="46">
        <f>-62850</f>
        <v>-62850</v>
      </c>
      <c r="H589" s="33">
        <f t="shared" si="6"/>
        <v>77150</v>
      </c>
      <c r="J589" s="42"/>
      <c r="K589" s="42"/>
    </row>
    <row r="590" spans="1:11" s="18" customFormat="1" ht="37.5" x14ac:dyDescent="0.2">
      <c r="A590" s="26"/>
      <c r="B590" s="26"/>
      <c r="C590" s="26"/>
      <c r="D590" s="39"/>
      <c r="E590" s="41" t="s">
        <v>567</v>
      </c>
      <c r="F590" s="25">
        <v>6188000</v>
      </c>
      <c r="G590" s="33">
        <f>-400000-398000</f>
        <v>-798000</v>
      </c>
      <c r="H590" s="33">
        <f t="shared" si="6"/>
        <v>5390000</v>
      </c>
      <c r="J590" s="42"/>
      <c r="K590" s="42"/>
    </row>
    <row r="591" spans="1:11" s="18" customFormat="1" ht="37.5" x14ac:dyDescent="0.2">
      <c r="A591" s="26" t="s">
        <v>433</v>
      </c>
      <c r="B591" s="26" t="s">
        <v>435</v>
      </c>
      <c r="C591" s="26" t="s">
        <v>266</v>
      </c>
      <c r="D591" s="39" t="s">
        <v>434</v>
      </c>
      <c r="E591" s="40"/>
      <c r="F591" s="29">
        <f>SUM(F592:F594)</f>
        <v>4407900</v>
      </c>
      <c r="G591" s="29">
        <f>SUM(G592:G594)</f>
        <v>2926024</v>
      </c>
      <c r="H591" s="30">
        <f t="shared" si="6"/>
        <v>7333924</v>
      </c>
      <c r="J591" s="42"/>
      <c r="K591" s="42"/>
    </row>
    <row r="592" spans="1:11" s="18" customFormat="1" x14ac:dyDescent="0.2">
      <c r="A592" s="26"/>
      <c r="B592" s="26"/>
      <c r="C592" s="90"/>
      <c r="D592" s="90"/>
      <c r="E592" s="133" t="s">
        <v>248</v>
      </c>
      <c r="F592" s="25">
        <v>3950000</v>
      </c>
      <c r="G592" s="33">
        <f>200000+200000-200000+300000+1265000+200000-450000+250000+100000+120000+100000+500000+300000</f>
        <v>2885000</v>
      </c>
      <c r="H592" s="33">
        <f t="shared" si="6"/>
        <v>6835000</v>
      </c>
      <c r="J592" s="42"/>
      <c r="K592" s="42"/>
    </row>
    <row r="593" spans="1:18" s="18" customFormat="1" ht="37.5" x14ac:dyDescent="0.2">
      <c r="A593" s="26"/>
      <c r="B593" s="26"/>
      <c r="C593" s="90"/>
      <c r="D593" s="90"/>
      <c r="E593" s="73" t="s">
        <v>661</v>
      </c>
      <c r="F593" s="25">
        <v>412900</v>
      </c>
      <c r="G593" s="33">
        <f>24</f>
        <v>24</v>
      </c>
      <c r="H593" s="33">
        <f t="shared" si="6"/>
        <v>412924</v>
      </c>
      <c r="J593" s="42"/>
      <c r="K593" s="42"/>
    </row>
    <row r="594" spans="1:18" ht="21" x14ac:dyDescent="0.2">
      <c r="A594" s="202"/>
      <c r="B594" s="202"/>
      <c r="C594" s="202"/>
      <c r="D594" s="203"/>
      <c r="E594" s="73" t="s">
        <v>64</v>
      </c>
      <c r="F594" s="114">
        <v>45000</v>
      </c>
      <c r="G594" s="25">
        <f>5000+36000</f>
        <v>41000</v>
      </c>
      <c r="H594" s="33">
        <f t="shared" si="6"/>
        <v>86000</v>
      </c>
    </row>
    <row r="595" spans="1:18" s="18" customFormat="1" ht="41.25" customHeight="1" x14ac:dyDescent="0.2">
      <c r="A595" s="20" t="s">
        <v>354</v>
      </c>
      <c r="B595" s="20"/>
      <c r="C595" s="20"/>
      <c r="D595" s="20" t="s">
        <v>124</v>
      </c>
      <c r="E595" s="38"/>
      <c r="F595" s="80">
        <f>F597+F601+F603+F606</f>
        <v>1361910</v>
      </c>
      <c r="G595" s="80">
        <f>G597+G601+G603+G606</f>
        <v>17477595</v>
      </c>
      <c r="H595" s="13">
        <f t="shared" ref="H595:H601" si="7">F595+G595</f>
        <v>18839505</v>
      </c>
      <c r="J595" s="42"/>
      <c r="K595" s="42"/>
    </row>
    <row r="596" spans="1:18" s="18" customFormat="1" ht="41.25" customHeight="1" x14ac:dyDescent="0.2">
      <c r="A596" s="20" t="s">
        <v>355</v>
      </c>
      <c r="B596" s="20"/>
      <c r="C596" s="20"/>
      <c r="D596" s="23" t="s">
        <v>124</v>
      </c>
      <c r="E596" s="38"/>
      <c r="F596" s="80"/>
      <c r="G596" s="13"/>
      <c r="H596" s="33">
        <f t="shared" si="7"/>
        <v>0</v>
      </c>
      <c r="J596" s="42"/>
      <c r="K596" s="42"/>
    </row>
    <row r="597" spans="1:18" s="52" customFormat="1" ht="56.25" x14ac:dyDescent="0.2">
      <c r="A597" s="26" t="s">
        <v>416</v>
      </c>
      <c r="B597" s="49" t="s">
        <v>317</v>
      </c>
      <c r="C597" s="49" t="s">
        <v>258</v>
      </c>
      <c r="D597" s="50" t="s">
        <v>318</v>
      </c>
      <c r="E597" s="40"/>
      <c r="F597" s="51">
        <f>SUM(F598:F600)</f>
        <v>770010</v>
      </c>
      <c r="G597" s="51">
        <f>SUM(G598:G600)</f>
        <v>370000</v>
      </c>
      <c r="H597" s="30">
        <f t="shared" si="7"/>
        <v>1140010</v>
      </c>
      <c r="J597" s="53"/>
      <c r="K597" s="53"/>
    </row>
    <row r="598" spans="1:18" x14ac:dyDescent="0.2">
      <c r="A598" s="54"/>
      <c r="B598" s="54"/>
      <c r="C598" s="54"/>
      <c r="D598" s="54"/>
      <c r="E598" s="38" t="s">
        <v>383</v>
      </c>
      <c r="F598" s="33">
        <f>470010</f>
        <v>470010</v>
      </c>
      <c r="G598" s="33">
        <f>370000</f>
        <v>370000</v>
      </c>
      <c r="H598" s="33">
        <f t="shared" si="7"/>
        <v>840010</v>
      </c>
      <c r="L598" s="7"/>
      <c r="M598" s="7"/>
      <c r="N598" s="7"/>
      <c r="O598" s="7"/>
      <c r="P598" s="7"/>
      <c r="Q598" s="7"/>
      <c r="R598" s="7"/>
    </row>
    <row r="599" spans="1:18" ht="56.25" x14ac:dyDescent="0.2">
      <c r="A599" s="54"/>
      <c r="B599" s="54"/>
      <c r="C599" s="54"/>
      <c r="D599" s="54"/>
      <c r="E599" s="183" t="s">
        <v>249</v>
      </c>
      <c r="F599" s="33"/>
      <c r="G599" s="33">
        <f>300000</f>
        <v>300000</v>
      </c>
      <c r="H599" s="33">
        <f t="shared" si="7"/>
        <v>300000</v>
      </c>
    </row>
    <row r="600" spans="1:18" x14ac:dyDescent="0.2">
      <c r="A600" s="54"/>
      <c r="B600" s="54"/>
      <c r="C600" s="54"/>
      <c r="D600" s="54"/>
      <c r="E600" s="38" t="s">
        <v>462</v>
      </c>
      <c r="F600" s="25">
        <f>300000</f>
        <v>300000</v>
      </c>
      <c r="G600" s="25">
        <f>-300000</f>
        <v>-300000</v>
      </c>
      <c r="H600" s="33">
        <f t="shared" si="7"/>
        <v>0</v>
      </c>
    </row>
    <row r="601" spans="1:18" s="68" customFormat="1" ht="19.5" x14ac:dyDescent="0.2">
      <c r="A601" s="26" t="s">
        <v>463</v>
      </c>
      <c r="B601" s="26" t="s">
        <v>345</v>
      </c>
      <c r="C601" s="26" t="s">
        <v>308</v>
      </c>
      <c r="D601" s="39" t="s">
        <v>76</v>
      </c>
      <c r="E601" s="74"/>
      <c r="F601" s="30">
        <f>SUM(F602)</f>
        <v>497500</v>
      </c>
      <c r="G601" s="30">
        <f>SUM(G602)</f>
        <v>0</v>
      </c>
      <c r="H601" s="30">
        <f t="shared" si="7"/>
        <v>497500</v>
      </c>
      <c r="I601" s="66"/>
      <c r="J601" s="67"/>
      <c r="K601" s="67"/>
      <c r="L601" s="66"/>
      <c r="M601" s="66"/>
      <c r="N601" s="66"/>
      <c r="O601" s="66"/>
      <c r="P601" s="66"/>
      <c r="Q601" s="66"/>
      <c r="R601" s="66"/>
    </row>
    <row r="602" spans="1:18" s="102" customFormat="1" ht="24.75" customHeight="1" x14ac:dyDescent="0.2">
      <c r="A602" s="49"/>
      <c r="B602" s="49"/>
      <c r="C602" s="49"/>
      <c r="D602" s="50"/>
      <c r="E602" s="34" t="s">
        <v>464</v>
      </c>
      <c r="F602" s="33">
        <v>497500</v>
      </c>
      <c r="G602" s="33"/>
      <c r="H602" s="33">
        <f t="shared" ref="H602:H607" si="8">F602+G602</f>
        <v>497500</v>
      </c>
      <c r="I602" s="100"/>
      <c r="J602" s="101"/>
      <c r="K602" s="101"/>
      <c r="L602" s="100"/>
      <c r="M602" s="100"/>
      <c r="N602" s="100"/>
      <c r="O602" s="100"/>
      <c r="P602" s="100"/>
      <c r="Q602" s="100"/>
      <c r="R602" s="100"/>
    </row>
    <row r="603" spans="1:18" s="102" customFormat="1" ht="38.25" customHeight="1" x14ac:dyDescent="0.2">
      <c r="A603" s="26" t="s">
        <v>356</v>
      </c>
      <c r="B603" s="26" t="s">
        <v>352</v>
      </c>
      <c r="C603" s="26" t="s">
        <v>308</v>
      </c>
      <c r="D603" s="39" t="s">
        <v>353</v>
      </c>
      <c r="E603" s="34"/>
      <c r="F603" s="30">
        <f>SUM(F604:F605)</f>
        <v>94400</v>
      </c>
      <c r="G603" s="30">
        <f>SUM(G604:G605)</f>
        <v>4619260</v>
      </c>
      <c r="H603" s="30">
        <f t="shared" si="8"/>
        <v>4713660</v>
      </c>
      <c r="I603" s="100"/>
      <c r="J603" s="101"/>
      <c r="K603" s="101"/>
      <c r="L603" s="100"/>
      <c r="M603" s="100"/>
      <c r="N603" s="100"/>
      <c r="O603" s="100"/>
      <c r="P603" s="100"/>
      <c r="Q603" s="100"/>
      <c r="R603" s="100"/>
    </row>
    <row r="604" spans="1:18" s="102" customFormat="1" ht="38.25" customHeight="1" x14ac:dyDescent="0.2">
      <c r="A604" s="26"/>
      <c r="B604" s="26"/>
      <c r="C604" s="26"/>
      <c r="D604" s="39"/>
      <c r="E604" s="34" t="s">
        <v>638</v>
      </c>
      <c r="F604" s="33"/>
      <c r="G604" s="33">
        <f>4619300</f>
        <v>4619300</v>
      </c>
      <c r="H604" s="33">
        <f t="shared" si="8"/>
        <v>4619300</v>
      </c>
      <c r="I604" s="100"/>
      <c r="J604" s="101"/>
      <c r="K604" s="101"/>
      <c r="L604" s="100"/>
      <c r="M604" s="100"/>
      <c r="N604" s="100"/>
      <c r="O604" s="100"/>
      <c r="P604" s="100"/>
      <c r="Q604" s="100"/>
      <c r="R604" s="100"/>
    </row>
    <row r="605" spans="1:18" s="102" customFormat="1" ht="37.5" x14ac:dyDescent="0.2">
      <c r="A605" s="90"/>
      <c r="B605" s="90"/>
      <c r="C605" s="90"/>
      <c r="D605" s="38"/>
      <c r="E605" s="73" t="s">
        <v>661</v>
      </c>
      <c r="F605" s="33">
        <v>94400</v>
      </c>
      <c r="G605" s="33">
        <f>-40</f>
        <v>-40</v>
      </c>
      <c r="H605" s="33">
        <f t="shared" si="8"/>
        <v>94360</v>
      </c>
      <c r="I605" s="100"/>
      <c r="J605" s="101"/>
      <c r="K605" s="101"/>
      <c r="L605" s="100"/>
      <c r="M605" s="100"/>
      <c r="N605" s="100"/>
      <c r="O605" s="100"/>
      <c r="P605" s="100"/>
      <c r="Q605" s="100"/>
      <c r="R605" s="100"/>
    </row>
    <row r="606" spans="1:18" s="102" customFormat="1" ht="37.5" x14ac:dyDescent="0.2">
      <c r="A606" s="26" t="s">
        <v>568</v>
      </c>
      <c r="B606" s="26" t="s">
        <v>297</v>
      </c>
      <c r="C606" s="26" t="s">
        <v>266</v>
      </c>
      <c r="D606" s="27" t="s">
        <v>267</v>
      </c>
      <c r="E606" s="38"/>
      <c r="F606" s="33"/>
      <c r="G606" s="30">
        <f>G607</f>
        <v>12488335</v>
      </c>
      <c r="H606" s="30">
        <f t="shared" si="8"/>
        <v>12488335</v>
      </c>
      <c r="I606" s="100"/>
      <c r="J606" s="101"/>
      <c r="K606" s="101"/>
      <c r="L606" s="100"/>
      <c r="M606" s="100"/>
      <c r="N606" s="100"/>
      <c r="O606" s="100"/>
      <c r="P606" s="100"/>
      <c r="Q606" s="100"/>
      <c r="R606" s="100"/>
    </row>
    <row r="607" spans="1:18" s="102" customFormat="1" ht="56.25" x14ac:dyDescent="0.2">
      <c r="A607" s="90"/>
      <c r="B607" s="90"/>
      <c r="C607" s="90"/>
      <c r="D607" s="38"/>
      <c r="E607" s="38" t="s">
        <v>639</v>
      </c>
      <c r="F607" s="33"/>
      <c r="G607" s="33">
        <f>12588335-100000</f>
        <v>12488335</v>
      </c>
      <c r="H607" s="33">
        <f t="shared" si="8"/>
        <v>12488335</v>
      </c>
      <c r="I607" s="100"/>
      <c r="J607" s="101"/>
      <c r="K607" s="101"/>
      <c r="L607" s="100"/>
      <c r="M607" s="100"/>
      <c r="N607" s="100"/>
      <c r="O607" s="100"/>
      <c r="P607" s="100"/>
      <c r="Q607" s="100"/>
      <c r="R607" s="100"/>
    </row>
    <row r="608" spans="1:18" s="18" customFormat="1" ht="61.5" customHeight="1" x14ac:dyDescent="0.2">
      <c r="A608" s="20" t="s">
        <v>354</v>
      </c>
      <c r="B608" s="20"/>
      <c r="C608" s="20"/>
      <c r="D608" s="20" t="s">
        <v>283</v>
      </c>
      <c r="E608" s="38"/>
      <c r="F608" s="80">
        <f>F616+F610+F614+F624+F612</f>
        <v>23261280</v>
      </c>
      <c r="G608" s="80">
        <f>G616+G610+G614+G624+G612</f>
        <v>-19058635</v>
      </c>
      <c r="H608" s="13">
        <f t="shared" si="6"/>
        <v>4202645</v>
      </c>
      <c r="J608" s="42"/>
      <c r="K608" s="42"/>
    </row>
    <row r="609" spans="1:18" s="18" customFormat="1" ht="61.5" customHeight="1" x14ac:dyDescent="0.2">
      <c r="A609" s="20" t="s">
        <v>355</v>
      </c>
      <c r="B609" s="20"/>
      <c r="C609" s="20"/>
      <c r="D609" s="23" t="s">
        <v>283</v>
      </c>
      <c r="E609" s="38"/>
      <c r="F609" s="80"/>
      <c r="G609" s="13"/>
      <c r="H609" s="33">
        <f t="shared" si="6"/>
        <v>0</v>
      </c>
      <c r="J609" s="42"/>
      <c r="K609" s="42"/>
    </row>
    <row r="610" spans="1:18" s="52" customFormat="1" ht="56.25" x14ac:dyDescent="0.2">
      <c r="A610" s="26" t="s">
        <v>416</v>
      </c>
      <c r="B610" s="49" t="s">
        <v>317</v>
      </c>
      <c r="C610" s="49" t="s">
        <v>258</v>
      </c>
      <c r="D610" s="50" t="s">
        <v>318</v>
      </c>
      <c r="E610" s="40"/>
      <c r="F610" s="51">
        <f>SUM(F611:F611)</f>
        <v>29990</v>
      </c>
      <c r="G610" s="51">
        <f>SUM(G611:G611)</f>
        <v>0</v>
      </c>
      <c r="H610" s="30">
        <f t="shared" si="6"/>
        <v>29990</v>
      </c>
      <c r="J610" s="53"/>
      <c r="K610" s="53"/>
    </row>
    <row r="611" spans="1:18" x14ac:dyDescent="0.2">
      <c r="A611" s="54"/>
      <c r="B611" s="54"/>
      <c r="C611" s="54"/>
      <c r="D611" s="54"/>
      <c r="E611" s="38" t="s">
        <v>383</v>
      </c>
      <c r="F611" s="25">
        <v>29990</v>
      </c>
      <c r="G611" s="33"/>
      <c r="H611" s="33">
        <f t="shared" si="6"/>
        <v>29990</v>
      </c>
    </row>
    <row r="612" spans="1:18" x14ac:dyDescent="0.2">
      <c r="A612" s="26" t="s">
        <v>34</v>
      </c>
      <c r="B612" s="49" t="s">
        <v>257</v>
      </c>
      <c r="C612" s="49" t="s">
        <v>268</v>
      </c>
      <c r="D612" s="50" t="s">
        <v>298</v>
      </c>
      <c r="E612" s="38"/>
      <c r="F612" s="25">
        <f>SUM(F613)</f>
        <v>199800</v>
      </c>
      <c r="G612" s="29">
        <f>SUM(G613)</f>
        <v>0</v>
      </c>
      <c r="H612" s="30">
        <f t="shared" si="6"/>
        <v>199800</v>
      </c>
    </row>
    <row r="613" spans="1:18" x14ac:dyDescent="0.2">
      <c r="A613" s="54"/>
      <c r="B613" s="54"/>
      <c r="C613" s="54"/>
      <c r="D613" s="54"/>
      <c r="E613" s="38" t="s">
        <v>35</v>
      </c>
      <c r="F613" s="25">
        <f>199800</f>
        <v>199800</v>
      </c>
      <c r="G613" s="25"/>
      <c r="H613" s="33">
        <f t="shared" si="6"/>
        <v>199800</v>
      </c>
    </row>
    <row r="614" spans="1:18" s="68" customFormat="1" ht="19.5" x14ac:dyDescent="0.2">
      <c r="A614" s="26" t="s">
        <v>463</v>
      </c>
      <c r="B614" s="26" t="s">
        <v>345</v>
      </c>
      <c r="C614" s="26" t="s">
        <v>308</v>
      </c>
      <c r="D614" s="39" t="s">
        <v>76</v>
      </c>
      <c r="E614" s="74"/>
      <c r="F614" s="30">
        <f>SUM(F615)</f>
        <v>990000</v>
      </c>
      <c r="G614" s="30">
        <f>SUM(G615)</f>
        <v>0</v>
      </c>
      <c r="H614" s="30">
        <f t="shared" si="6"/>
        <v>990000</v>
      </c>
      <c r="I614" s="66"/>
      <c r="J614" s="67"/>
      <c r="K614" s="67"/>
      <c r="L614" s="66"/>
      <c r="M614" s="66"/>
      <c r="N614" s="66"/>
      <c r="O614" s="66"/>
      <c r="P614" s="66"/>
      <c r="Q614" s="66"/>
      <c r="R614" s="66"/>
    </row>
    <row r="615" spans="1:18" s="102" customFormat="1" ht="24.75" customHeight="1" x14ac:dyDescent="0.2">
      <c r="A615" s="49"/>
      <c r="B615" s="49"/>
      <c r="C615" s="49"/>
      <c r="D615" s="50"/>
      <c r="E615" s="34" t="s">
        <v>464</v>
      </c>
      <c r="F615" s="33">
        <v>990000</v>
      </c>
      <c r="G615" s="33"/>
      <c r="H615" s="33">
        <f t="shared" si="6"/>
        <v>990000</v>
      </c>
      <c r="I615" s="100"/>
      <c r="J615" s="101"/>
      <c r="K615" s="101"/>
      <c r="L615" s="100"/>
      <c r="M615" s="100"/>
      <c r="N615" s="100"/>
      <c r="O615" s="100"/>
      <c r="P615" s="100"/>
      <c r="Q615" s="100"/>
      <c r="R615" s="100"/>
    </row>
    <row r="616" spans="1:18" s="52" customFormat="1" ht="36.75" customHeight="1" x14ac:dyDescent="0.2">
      <c r="A616" s="26" t="s">
        <v>356</v>
      </c>
      <c r="B616" s="26" t="s">
        <v>352</v>
      </c>
      <c r="C616" s="26" t="s">
        <v>308</v>
      </c>
      <c r="D616" s="39" t="s">
        <v>353</v>
      </c>
      <c r="E616" s="40"/>
      <c r="F616" s="30">
        <f>SUM(F617:F623)</f>
        <v>7588490</v>
      </c>
      <c r="G616" s="30">
        <f>SUM(G617:G623)</f>
        <v>-5659300</v>
      </c>
      <c r="H616" s="30">
        <f t="shared" si="6"/>
        <v>1929190</v>
      </c>
      <c r="I616" s="63"/>
      <c r="J616" s="64"/>
      <c r="K616" s="64"/>
      <c r="L616" s="63"/>
      <c r="M616" s="63"/>
      <c r="N616" s="63"/>
      <c r="O616" s="63"/>
      <c r="P616" s="63"/>
      <c r="Q616" s="63"/>
      <c r="R616" s="63"/>
    </row>
    <row r="617" spans="1:18" s="18" customFormat="1" x14ac:dyDescent="0.2">
      <c r="A617" s="90"/>
      <c r="B617" s="90"/>
      <c r="C617" s="90"/>
      <c r="D617" s="38"/>
      <c r="E617" s="34" t="s">
        <v>638</v>
      </c>
      <c r="F617" s="33">
        <v>6500000</v>
      </c>
      <c r="G617" s="25">
        <f>-4619300</f>
        <v>-4619300</v>
      </c>
      <c r="H617" s="33">
        <f t="shared" si="6"/>
        <v>1880700</v>
      </c>
      <c r="I617" s="3"/>
      <c r="J617" s="17"/>
      <c r="K617" s="17"/>
      <c r="L617" s="3"/>
      <c r="M617" s="3"/>
      <c r="N617" s="3"/>
      <c r="O617" s="3"/>
      <c r="P617" s="3"/>
      <c r="Q617" s="3"/>
      <c r="R617" s="3"/>
    </row>
    <row r="618" spans="1:18" s="18" customFormat="1" ht="56.25" x14ac:dyDescent="0.2">
      <c r="A618" s="90"/>
      <c r="B618" s="90"/>
      <c r="C618" s="90"/>
      <c r="D618" s="38"/>
      <c r="E618" s="38" t="s">
        <v>580</v>
      </c>
      <c r="F618" s="33">
        <v>140000</v>
      </c>
      <c r="G618" s="25">
        <f>-140000</f>
        <v>-140000</v>
      </c>
      <c r="H618" s="33">
        <f t="shared" si="6"/>
        <v>0</v>
      </c>
      <c r="I618" s="3"/>
      <c r="J618" s="17"/>
      <c r="K618" s="17"/>
      <c r="L618" s="3"/>
      <c r="M618" s="3"/>
      <c r="N618" s="3"/>
      <c r="O618" s="3"/>
      <c r="P618" s="3"/>
      <c r="Q618" s="3"/>
      <c r="R618" s="3"/>
    </row>
    <row r="619" spans="1:18" s="18" customFormat="1" ht="37.5" x14ac:dyDescent="0.2">
      <c r="A619" s="90"/>
      <c r="B619" s="90"/>
      <c r="C619" s="90"/>
      <c r="D619" s="38"/>
      <c r="E619" s="38" t="s">
        <v>480</v>
      </c>
      <c r="F619" s="33">
        <v>35000</v>
      </c>
      <c r="G619" s="25">
        <f>-13400-21600</f>
        <v>-35000</v>
      </c>
      <c r="H619" s="33">
        <f t="shared" si="6"/>
        <v>0</v>
      </c>
      <c r="I619" s="3"/>
      <c r="J619" s="17"/>
      <c r="K619" s="17"/>
      <c r="L619" s="3"/>
      <c r="M619" s="3"/>
      <c r="N619" s="3"/>
      <c r="O619" s="3"/>
      <c r="P619" s="3"/>
      <c r="Q619" s="3"/>
      <c r="R619" s="3"/>
    </row>
    <row r="620" spans="1:18" s="18" customFormat="1" ht="93.75" x14ac:dyDescent="0.2">
      <c r="A620" s="90"/>
      <c r="B620" s="90"/>
      <c r="C620" s="90"/>
      <c r="D620" s="38"/>
      <c r="E620" s="38" t="s">
        <v>68</v>
      </c>
      <c r="F620" s="33">
        <v>105000</v>
      </c>
      <c r="G620" s="25">
        <f>13400-118400</f>
        <v>-105000</v>
      </c>
      <c r="H620" s="33">
        <f t="shared" si="6"/>
        <v>0</v>
      </c>
      <c r="I620" s="3"/>
      <c r="J620" s="17"/>
      <c r="K620" s="17"/>
      <c r="L620" s="3"/>
      <c r="M620" s="3"/>
      <c r="N620" s="3"/>
      <c r="O620" s="3"/>
      <c r="P620" s="3"/>
      <c r="Q620" s="3"/>
      <c r="R620" s="3"/>
    </row>
    <row r="621" spans="1:18" s="18" customFormat="1" ht="37.5" x14ac:dyDescent="0.2">
      <c r="A621" s="90"/>
      <c r="B621" s="90"/>
      <c r="C621" s="90"/>
      <c r="D621" s="38"/>
      <c r="E621" s="38" t="s">
        <v>478</v>
      </c>
      <c r="F621" s="33">
        <v>340000</v>
      </c>
      <c r="G621" s="25">
        <f>-340000</f>
        <v>-340000</v>
      </c>
      <c r="H621" s="33">
        <f t="shared" si="6"/>
        <v>0</v>
      </c>
      <c r="I621" s="3"/>
      <c r="J621" s="17"/>
      <c r="K621" s="17"/>
      <c r="L621" s="3"/>
      <c r="M621" s="3"/>
      <c r="N621" s="3"/>
      <c r="O621" s="3"/>
      <c r="P621" s="3"/>
      <c r="Q621" s="3"/>
      <c r="R621" s="3"/>
    </row>
    <row r="622" spans="1:18" s="18" customFormat="1" ht="37.5" x14ac:dyDescent="0.2">
      <c r="A622" s="90"/>
      <c r="B622" s="90"/>
      <c r="C622" s="90"/>
      <c r="D622" s="38"/>
      <c r="E622" s="38" t="s">
        <v>479</v>
      </c>
      <c r="F622" s="33">
        <v>420000</v>
      </c>
      <c r="G622" s="25">
        <f>-420000</f>
        <v>-420000</v>
      </c>
      <c r="H622" s="33">
        <f t="shared" si="6"/>
        <v>0</v>
      </c>
      <c r="I622" s="3"/>
      <c r="J622" s="17"/>
      <c r="K622" s="17"/>
      <c r="L622" s="3"/>
      <c r="M622" s="3"/>
      <c r="N622" s="3"/>
      <c r="O622" s="3"/>
      <c r="P622" s="3"/>
      <c r="Q622" s="3"/>
      <c r="R622" s="3"/>
    </row>
    <row r="623" spans="1:18" s="18" customFormat="1" ht="37.5" x14ac:dyDescent="0.2">
      <c r="A623" s="90"/>
      <c r="B623" s="90"/>
      <c r="C623" s="90"/>
      <c r="D623" s="38"/>
      <c r="E623" s="73" t="s">
        <v>661</v>
      </c>
      <c r="F623" s="33">
        <v>48490</v>
      </c>
      <c r="G623" s="25"/>
      <c r="H623" s="33">
        <f t="shared" si="6"/>
        <v>48490</v>
      </c>
      <c r="I623" s="3"/>
      <c r="J623" s="17"/>
      <c r="K623" s="17"/>
      <c r="L623" s="3"/>
      <c r="M623" s="3"/>
      <c r="N623" s="3"/>
      <c r="O623" s="3"/>
      <c r="P623" s="3"/>
      <c r="Q623" s="3"/>
      <c r="R623" s="3"/>
    </row>
    <row r="624" spans="1:18" s="18" customFormat="1" ht="37.5" x14ac:dyDescent="0.2">
      <c r="A624" s="26" t="s">
        <v>568</v>
      </c>
      <c r="B624" s="26" t="s">
        <v>297</v>
      </c>
      <c r="C624" s="26" t="s">
        <v>266</v>
      </c>
      <c r="D624" s="27" t="s">
        <v>267</v>
      </c>
      <c r="E624" s="38"/>
      <c r="F624" s="30">
        <f>SUM(F625)</f>
        <v>14453000</v>
      </c>
      <c r="G624" s="30">
        <f>SUM(G625)</f>
        <v>-13399335</v>
      </c>
      <c r="H624" s="30">
        <f t="shared" si="6"/>
        <v>1053665</v>
      </c>
      <c r="I624" s="3"/>
      <c r="J624" s="17"/>
      <c r="K624" s="17"/>
      <c r="L624" s="3"/>
      <c r="M624" s="3"/>
      <c r="N624" s="3"/>
      <c r="O624" s="3"/>
      <c r="P624" s="3"/>
      <c r="Q624" s="3"/>
      <c r="R624" s="3"/>
    </row>
    <row r="625" spans="1:18" s="18" customFormat="1" ht="56.25" x14ac:dyDescent="0.2">
      <c r="A625" s="90"/>
      <c r="B625" s="90"/>
      <c r="C625" s="90"/>
      <c r="D625" s="38"/>
      <c r="E625" s="38" t="s">
        <v>639</v>
      </c>
      <c r="F625" s="33">
        <v>14453000</v>
      </c>
      <c r="G625" s="25">
        <f>-811000-12588335</f>
        <v>-13399335</v>
      </c>
      <c r="H625" s="33">
        <f t="shared" si="6"/>
        <v>1053665</v>
      </c>
      <c r="I625" s="3"/>
      <c r="J625" s="17"/>
      <c r="K625" s="17"/>
      <c r="L625" s="3"/>
      <c r="M625" s="3"/>
      <c r="N625" s="3"/>
      <c r="O625" s="3"/>
      <c r="P625" s="3"/>
      <c r="Q625" s="3"/>
      <c r="R625" s="3"/>
    </row>
    <row r="626" spans="1:18" s="18" customFormat="1" ht="36.75" customHeight="1" x14ac:dyDescent="0.2">
      <c r="A626" s="20" t="s">
        <v>357</v>
      </c>
      <c r="B626" s="47"/>
      <c r="C626" s="47"/>
      <c r="D626" s="47" t="s">
        <v>284</v>
      </c>
      <c r="E626" s="38"/>
      <c r="F626" s="13">
        <f>F633+F673+F628+F661+F669+F671+F631</f>
        <v>45400020</v>
      </c>
      <c r="G626" s="13">
        <f>G633+G673+G628+G661+G669+G671+G631</f>
        <v>-3461934</v>
      </c>
      <c r="H626" s="13">
        <f t="shared" si="6"/>
        <v>41938086</v>
      </c>
      <c r="I626" s="3"/>
      <c r="J626" s="17"/>
      <c r="K626" s="17"/>
      <c r="L626" s="3"/>
      <c r="M626" s="3"/>
      <c r="N626" s="3"/>
      <c r="O626" s="3"/>
      <c r="P626" s="3"/>
      <c r="Q626" s="3"/>
      <c r="R626" s="3"/>
    </row>
    <row r="627" spans="1:18" s="18" customFormat="1" ht="31.5" customHeight="1" x14ac:dyDescent="0.2">
      <c r="A627" s="20" t="s">
        <v>358</v>
      </c>
      <c r="B627" s="47"/>
      <c r="C627" s="47"/>
      <c r="D627" s="48" t="s">
        <v>284</v>
      </c>
      <c r="E627" s="38"/>
      <c r="F627" s="33"/>
      <c r="G627" s="33"/>
      <c r="H627" s="33">
        <f t="shared" si="6"/>
        <v>0</v>
      </c>
      <c r="I627" s="3"/>
      <c r="J627" s="17"/>
      <c r="K627" s="17"/>
      <c r="L627" s="3"/>
      <c r="M627" s="3"/>
      <c r="N627" s="3"/>
      <c r="O627" s="3"/>
      <c r="P627" s="3"/>
      <c r="Q627" s="3"/>
      <c r="R627" s="3"/>
    </row>
    <row r="628" spans="1:18" s="52" customFormat="1" ht="56.25" x14ac:dyDescent="0.2">
      <c r="A628" s="26" t="s">
        <v>359</v>
      </c>
      <c r="B628" s="49" t="s">
        <v>317</v>
      </c>
      <c r="C628" s="49" t="s">
        <v>258</v>
      </c>
      <c r="D628" s="50" t="s">
        <v>318</v>
      </c>
      <c r="E628" s="40"/>
      <c r="F628" s="51">
        <f>SUM(F629:F630)</f>
        <v>78000</v>
      </c>
      <c r="G628" s="51">
        <f>SUM(G629:G630)</f>
        <v>0</v>
      </c>
      <c r="H628" s="30">
        <f t="shared" si="6"/>
        <v>78000</v>
      </c>
      <c r="J628" s="53"/>
      <c r="K628" s="53"/>
    </row>
    <row r="629" spans="1:18" s="18" customFormat="1" x14ac:dyDescent="0.2">
      <c r="A629" s="26"/>
      <c r="B629" s="26"/>
      <c r="C629" s="26"/>
      <c r="D629" s="39"/>
      <c r="E629" s="38" t="s">
        <v>383</v>
      </c>
      <c r="F629" s="25">
        <v>49000</v>
      </c>
      <c r="G629" s="46"/>
      <c r="H629" s="33">
        <f t="shared" si="6"/>
        <v>49000</v>
      </c>
      <c r="J629" s="42"/>
      <c r="K629" s="42"/>
    </row>
    <row r="630" spans="1:18" s="18" customFormat="1" x14ac:dyDescent="0.2">
      <c r="A630" s="26"/>
      <c r="B630" s="26"/>
      <c r="C630" s="26"/>
      <c r="D630" s="39"/>
      <c r="E630" s="43" t="s">
        <v>384</v>
      </c>
      <c r="F630" s="45">
        <f>29000</f>
        <v>29000</v>
      </c>
      <c r="G630" s="46"/>
      <c r="H630" s="33">
        <f t="shared" si="6"/>
        <v>29000</v>
      </c>
      <c r="J630" s="42"/>
      <c r="K630" s="42"/>
    </row>
    <row r="631" spans="1:18" s="52" customFormat="1" x14ac:dyDescent="0.2">
      <c r="A631" s="26" t="s">
        <v>251</v>
      </c>
      <c r="B631" s="49" t="s">
        <v>257</v>
      </c>
      <c r="C631" s="49" t="s">
        <v>268</v>
      </c>
      <c r="D631" s="50" t="s">
        <v>298</v>
      </c>
      <c r="E631" s="40"/>
      <c r="F631" s="51">
        <f>SUM(F632)</f>
        <v>0</v>
      </c>
      <c r="G631" s="51">
        <f>SUM(G632)</f>
        <v>5000000</v>
      </c>
      <c r="H631" s="30">
        <f>F631+G631</f>
        <v>5000000</v>
      </c>
      <c r="J631" s="53"/>
      <c r="K631" s="53"/>
    </row>
    <row r="632" spans="1:18" s="18" customFormat="1" ht="56.25" x14ac:dyDescent="0.2">
      <c r="A632" s="26"/>
      <c r="B632" s="26"/>
      <c r="C632" s="26"/>
      <c r="D632" s="39"/>
      <c r="E632" s="185" t="s">
        <v>252</v>
      </c>
      <c r="F632" s="25"/>
      <c r="G632" s="46">
        <f>5000000</f>
        <v>5000000</v>
      </c>
      <c r="H632" s="33">
        <f>F632+G632</f>
        <v>5000000</v>
      </c>
      <c r="J632" s="42"/>
      <c r="K632" s="42"/>
    </row>
    <row r="633" spans="1:18" s="52" customFormat="1" ht="19.5" x14ac:dyDescent="0.2">
      <c r="A633" s="26" t="s">
        <v>360</v>
      </c>
      <c r="B633" s="26" t="s">
        <v>330</v>
      </c>
      <c r="C633" s="26" t="s">
        <v>281</v>
      </c>
      <c r="D633" s="26" t="s">
        <v>331</v>
      </c>
      <c r="E633" s="74"/>
      <c r="F633" s="30">
        <f>SUM(F634:F660)</f>
        <v>17022020</v>
      </c>
      <c r="G633" s="30">
        <f>SUM(G634:G660)</f>
        <v>568066</v>
      </c>
      <c r="H633" s="30">
        <f t="shared" si="6"/>
        <v>17590086</v>
      </c>
      <c r="I633" s="63"/>
      <c r="J633" s="64"/>
      <c r="K633" s="64"/>
      <c r="L633" s="63"/>
      <c r="M633" s="63"/>
      <c r="N633" s="63"/>
      <c r="O633" s="63"/>
      <c r="P633" s="63"/>
      <c r="Q633" s="63"/>
      <c r="R633" s="63"/>
    </row>
    <row r="634" spans="1:18" x14ac:dyDescent="0.2">
      <c r="A634" s="54"/>
      <c r="B634" s="54"/>
      <c r="C634" s="54"/>
      <c r="D634" s="54"/>
      <c r="E634" s="134" t="s">
        <v>385</v>
      </c>
      <c r="F634" s="25">
        <v>400000</v>
      </c>
      <c r="G634" s="46"/>
      <c r="H634" s="33">
        <f t="shared" si="6"/>
        <v>400000</v>
      </c>
    </row>
    <row r="635" spans="1:18" x14ac:dyDescent="0.2">
      <c r="A635" s="54"/>
      <c r="B635" s="54"/>
      <c r="C635" s="54"/>
      <c r="D635" s="54"/>
      <c r="E635" s="134" t="s">
        <v>386</v>
      </c>
      <c r="F635" s="25">
        <v>1392000</v>
      </c>
      <c r="G635" s="30"/>
      <c r="H635" s="33">
        <f t="shared" si="6"/>
        <v>1392000</v>
      </c>
    </row>
    <row r="636" spans="1:18" x14ac:dyDescent="0.2">
      <c r="A636" s="54"/>
      <c r="B636" s="54"/>
      <c r="C636" s="54"/>
      <c r="D636" s="54"/>
      <c r="E636" s="134" t="s">
        <v>387</v>
      </c>
      <c r="F636" s="25">
        <v>190000</v>
      </c>
      <c r="G636" s="46"/>
      <c r="H636" s="33">
        <f t="shared" si="6"/>
        <v>190000</v>
      </c>
    </row>
    <row r="637" spans="1:18" x14ac:dyDescent="0.2">
      <c r="A637" s="54"/>
      <c r="B637" s="54"/>
      <c r="C637" s="54"/>
      <c r="D637" s="54"/>
      <c r="E637" s="134" t="s">
        <v>388</v>
      </c>
      <c r="F637" s="25">
        <v>147000</v>
      </c>
      <c r="G637" s="30"/>
      <c r="H637" s="33">
        <f t="shared" si="6"/>
        <v>147000</v>
      </c>
    </row>
    <row r="638" spans="1:18" x14ac:dyDescent="0.2">
      <c r="A638" s="54"/>
      <c r="B638" s="54"/>
      <c r="C638" s="54"/>
      <c r="D638" s="54"/>
      <c r="E638" s="134" t="s">
        <v>389</v>
      </c>
      <c r="F638" s="25">
        <v>49000</v>
      </c>
      <c r="G638" s="46"/>
      <c r="H638" s="33">
        <f t="shared" si="6"/>
        <v>49000</v>
      </c>
    </row>
    <row r="639" spans="1:18" x14ac:dyDescent="0.2">
      <c r="A639" s="54"/>
      <c r="B639" s="54"/>
      <c r="C639" s="54"/>
      <c r="D639" s="54"/>
      <c r="E639" s="134" t="s">
        <v>390</v>
      </c>
      <c r="F639" s="25">
        <v>0</v>
      </c>
      <c r="G639" s="46"/>
      <c r="H639" s="33">
        <f t="shared" si="6"/>
        <v>0</v>
      </c>
    </row>
    <row r="640" spans="1:18" s="18" customFormat="1" x14ac:dyDescent="0.2">
      <c r="A640" s="26"/>
      <c r="B640" s="26"/>
      <c r="C640" s="26"/>
      <c r="D640" s="39"/>
      <c r="E640" s="134" t="s">
        <v>391</v>
      </c>
      <c r="F640" s="25">
        <v>29000</v>
      </c>
      <c r="G640" s="46"/>
      <c r="H640" s="33">
        <f t="shared" si="6"/>
        <v>29000</v>
      </c>
      <c r="J640" s="42"/>
      <c r="K640" s="42"/>
    </row>
    <row r="641" spans="1:11" s="18" customFormat="1" x14ac:dyDescent="0.2">
      <c r="A641" s="26"/>
      <c r="B641" s="26"/>
      <c r="C641" s="26"/>
      <c r="D641" s="39"/>
      <c r="E641" s="134" t="s">
        <v>392</v>
      </c>
      <c r="F641" s="25">
        <v>47000</v>
      </c>
      <c r="G641" s="33"/>
      <c r="H641" s="33">
        <f t="shared" si="6"/>
        <v>47000</v>
      </c>
      <c r="J641" s="42"/>
      <c r="K641" s="42"/>
    </row>
    <row r="642" spans="1:11" s="18" customFormat="1" x14ac:dyDescent="0.2">
      <c r="A642" s="26"/>
      <c r="B642" s="26"/>
      <c r="C642" s="26"/>
      <c r="D642" s="39"/>
      <c r="E642" s="134" t="s">
        <v>393</v>
      </c>
      <c r="F642" s="25">
        <v>48100</v>
      </c>
      <c r="G642" s="46">
        <f>-4180</f>
        <v>-4180</v>
      </c>
      <c r="H642" s="33">
        <f t="shared" si="6"/>
        <v>43920</v>
      </c>
      <c r="J642" s="42"/>
      <c r="K642" s="42"/>
    </row>
    <row r="643" spans="1:11" s="18" customFormat="1" ht="37.5" x14ac:dyDescent="0.2">
      <c r="A643" s="26"/>
      <c r="B643" s="26"/>
      <c r="C643" s="26"/>
      <c r="D643" s="39"/>
      <c r="E643" s="43" t="s">
        <v>394</v>
      </c>
      <c r="F643" s="45">
        <v>2000000</v>
      </c>
      <c r="G643" s="46">
        <f>300000</f>
        <v>300000</v>
      </c>
      <c r="H643" s="33">
        <f t="shared" si="6"/>
        <v>2300000</v>
      </c>
      <c r="J643" s="42"/>
      <c r="K643" s="42"/>
    </row>
    <row r="644" spans="1:11" s="18" customFormat="1" x14ac:dyDescent="0.2">
      <c r="A644" s="26"/>
      <c r="B644" s="26"/>
      <c r="C644" s="26"/>
      <c r="D644" s="39"/>
      <c r="E644" s="134" t="s">
        <v>395</v>
      </c>
      <c r="F644" s="25">
        <v>6100000</v>
      </c>
      <c r="G644" s="33">
        <f>-37000-750000+1075000</f>
        <v>288000</v>
      </c>
      <c r="H644" s="33">
        <f t="shared" si="6"/>
        <v>6388000</v>
      </c>
      <c r="J644" s="42"/>
      <c r="K644" s="42"/>
    </row>
    <row r="645" spans="1:11" s="18" customFormat="1" ht="37.5" x14ac:dyDescent="0.2">
      <c r="A645" s="26"/>
      <c r="B645" s="26"/>
      <c r="C645" s="26"/>
      <c r="D645" s="39"/>
      <c r="E645" s="222" t="s">
        <v>218</v>
      </c>
      <c r="F645" s="25"/>
      <c r="G645" s="33">
        <f>350000+400000</f>
        <v>750000</v>
      </c>
      <c r="H645" s="33">
        <f t="shared" si="6"/>
        <v>750000</v>
      </c>
      <c r="J645" s="42"/>
      <c r="K645" s="42"/>
    </row>
    <row r="646" spans="1:11" s="18" customFormat="1" x14ac:dyDescent="0.2">
      <c r="A646" s="26"/>
      <c r="B646" s="26"/>
      <c r="C646" s="26"/>
      <c r="D646" s="39"/>
      <c r="E646" s="134" t="s">
        <v>396</v>
      </c>
      <c r="F646" s="135">
        <v>1000000</v>
      </c>
      <c r="G646" s="46"/>
      <c r="H646" s="33">
        <f t="shared" si="6"/>
        <v>1000000</v>
      </c>
      <c r="J646" s="42"/>
      <c r="K646" s="42"/>
    </row>
    <row r="647" spans="1:11" s="18" customFormat="1" x14ac:dyDescent="0.2">
      <c r="A647" s="26"/>
      <c r="B647" s="26"/>
      <c r="C647" s="26"/>
      <c r="D647" s="39"/>
      <c r="E647" s="134" t="s">
        <v>29</v>
      </c>
      <c r="F647" s="135">
        <v>49000</v>
      </c>
      <c r="G647" s="46"/>
      <c r="H647" s="33">
        <f t="shared" si="6"/>
        <v>49000</v>
      </c>
      <c r="J647" s="42"/>
      <c r="K647" s="42"/>
    </row>
    <row r="648" spans="1:11" s="18" customFormat="1" x14ac:dyDescent="0.2">
      <c r="A648" s="26"/>
      <c r="B648" s="26"/>
      <c r="C648" s="26"/>
      <c r="D648" s="39"/>
      <c r="E648" s="134" t="s">
        <v>397</v>
      </c>
      <c r="F648" s="135">
        <v>1425000</v>
      </c>
      <c r="G648" s="33">
        <f>-550000</f>
        <v>-550000</v>
      </c>
      <c r="H648" s="33">
        <f t="shared" si="6"/>
        <v>875000</v>
      </c>
      <c r="J648" s="42"/>
      <c r="K648" s="42"/>
    </row>
    <row r="649" spans="1:11" s="18" customFormat="1" x14ac:dyDescent="0.2">
      <c r="A649" s="26"/>
      <c r="B649" s="26"/>
      <c r="C649" s="26"/>
      <c r="D649" s="39"/>
      <c r="E649" s="134" t="s">
        <v>398</v>
      </c>
      <c r="F649" s="135">
        <v>1000000</v>
      </c>
      <c r="G649" s="33"/>
      <c r="H649" s="33">
        <f t="shared" si="6"/>
        <v>1000000</v>
      </c>
      <c r="J649" s="42"/>
      <c r="K649" s="42"/>
    </row>
    <row r="650" spans="1:11" s="18" customFormat="1" x14ac:dyDescent="0.2">
      <c r="A650" s="26"/>
      <c r="B650" s="26"/>
      <c r="C650" s="26"/>
      <c r="D650" s="39"/>
      <c r="E650" s="134" t="s">
        <v>399</v>
      </c>
      <c r="F650" s="135">
        <v>1700000</v>
      </c>
      <c r="G650" s="33">
        <f>-329734+45000+750000+360000</f>
        <v>825266</v>
      </c>
      <c r="H650" s="33">
        <f t="shared" si="6"/>
        <v>2525266</v>
      </c>
      <c r="J650" s="42"/>
      <c r="K650" s="42"/>
    </row>
    <row r="651" spans="1:11" s="18" customFormat="1" x14ac:dyDescent="0.2">
      <c r="A651" s="26"/>
      <c r="B651" s="26"/>
      <c r="C651" s="26"/>
      <c r="D651" s="39"/>
      <c r="E651" s="222" t="s">
        <v>204</v>
      </c>
      <c r="F651" s="135"/>
      <c r="G651" s="33">
        <f>25000</f>
        <v>25000</v>
      </c>
      <c r="H651" s="33">
        <f t="shared" si="6"/>
        <v>25000</v>
      </c>
      <c r="J651" s="42"/>
      <c r="K651" s="42"/>
    </row>
    <row r="652" spans="1:11" s="18" customFormat="1" x14ac:dyDescent="0.2">
      <c r="A652" s="26"/>
      <c r="B652" s="26"/>
      <c r="C652" s="26"/>
      <c r="D652" s="39"/>
      <c r="E652" s="134" t="s">
        <v>400</v>
      </c>
      <c r="F652" s="25">
        <v>49000</v>
      </c>
      <c r="G652" s="33"/>
      <c r="H652" s="33">
        <f t="shared" si="6"/>
        <v>49000</v>
      </c>
      <c r="J652" s="42"/>
      <c r="K652" s="42"/>
    </row>
    <row r="653" spans="1:11" s="18" customFormat="1" ht="37.5" x14ac:dyDescent="0.2">
      <c r="A653" s="26"/>
      <c r="B653" s="26"/>
      <c r="C653" s="26"/>
      <c r="D653" s="39"/>
      <c r="E653" s="134" t="s">
        <v>401</v>
      </c>
      <c r="F653" s="25">
        <v>199000</v>
      </c>
      <c r="G653" s="33"/>
      <c r="H653" s="33">
        <f t="shared" si="6"/>
        <v>199000</v>
      </c>
      <c r="J653" s="42"/>
      <c r="K653" s="42"/>
    </row>
    <row r="654" spans="1:11" s="18" customFormat="1" x14ac:dyDescent="0.2">
      <c r="A654" s="26"/>
      <c r="B654" s="26"/>
      <c r="C654" s="26"/>
      <c r="D654" s="39"/>
      <c r="E654" s="134" t="s">
        <v>402</v>
      </c>
      <c r="F654" s="25">
        <v>157200</v>
      </c>
      <c r="G654" s="33">
        <f>-157200</f>
        <v>-157200</v>
      </c>
      <c r="H654" s="33">
        <f t="shared" si="6"/>
        <v>0</v>
      </c>
      <c r="J654" s="42"/>
      <c r="K654" s="42"/>
    </row>
    <row r="655" spans="1:11" s="18" customFormat="1" x14ac:dyDescent="0.2">
      <c r="A655" s="26"/>
      <c r="B655" s="26"/>
      <c r="C655" s="26"/>
      <c r="D655" s="39"/>
      <c r="E655" s="222" t="s">
        <v>205</v>
      </c>
      <c r="F655" s="25"/>
      <c r="G655" s="33">
        <f>37000</f>
        <v>37000</v>
      </c>
      <c r="H655" s="33">
        <f t="shared" si="6"/>
        <v>37000</v>
      </c>
      <c r="J655" s="42"/>
      <c r="K655" s="42"/>
    </row>
    <row r="656" spans="1:11" s="18" customFormat="1" x14ac:dyDescent="0.2">
      <c r="A656" s="26"/>
      <c r="B656" s="26"/>
      <c r="C656" s="26"/>
      <c r="D656" s="39"/>
      <c r="E656" s="134" t="s">
        <v>403</v>
      </c>
      <c r="F656" s="25">
        <v>49000</v>
      </c>
      <c r="G656" s="33"/>
      <c r="H656" s="33">
        <f t="shared" si="6"/>
        <v>49000</v>
      </c>
      <c r="J656" s="42"/>
      <c r="K656" s="42"/>
    </row>
    <row r="657" spans="1:18" s="18" customFormat="1" ht="37.5" x14ac:dyDescent="0.2">
      <c r="A657" s="26"/>
      <c r="B657" s="26"/>
      <c r="C657" s="26"/>
      <c r="D657" s="39"/>
      <c r="E657" s="134" t="s">
        <v>404</v>
      </c>
      <c r="F657" s="25">
        <v>250000</v>
      </c>
      <c r="G657" s="33">
        <f>-25000-225000</f>
        <v>-250000</v>
      </c>
      <c r="H657" s="33">
        <f t="shared" si="6"/>
        <v>0</v>
      </c>
      <c r="J657" s="42"/>
      <c r="K657" s="42"/>
    </row>
    <row r="658" spans="1:18" s="18" customFormat="1" ht="37.5" x14ac:dyDescent="0.2">
      <c r="A658" s="26"/>
      <c r="B658" s="26"/>
      <c r="C658" s="26"/>
      <c r="D658" s="39"/>
      <c r="E658" s="134" t="s">
        <v>405</v>
      </c>
      <c r="F658" s="25">
        <v>700000</v>
      </c>
      <c r="G658" s="33">
        <f>-700000</f>
        <v>-700000</v>
      </c>
      <c r="H658" s="33">
        <f t="shared" si="6"/>
        <v>0</v>
      </c>
      <c r="J658" s="42"/>
      <c r="K658" s="42"/>
    </row>
    <row r="659" spans="1:18" s="18" customFormat="1" x14ac:dyDescent="0.2">
      <c r="A659" s="26"/>
      <c r="B659" s="26"/>
      <c r="C659" s="26"/>
      <c r="D659" s="39"/>
      <c r="E659" s="134" t="s">
        <v>406</v>
      </c>
      <c r="F659" s="25">
        <v>39900</v>
      </c>
      <c r="G659" s="33"/>
      <c r="H659" s="33">
        <f t="shared" si="6"/>
        <v>39900</v>
      </c>
      <c r="J659" s="42"/>
      <c r="K659" s="42"/>
    </row>
    <row r="660" spans="1:18" s="18" customFormat="1" ht="26.25" customHeight="1" x14ac:dyDescent="0.2">
      <c r="A660" s="26"/>
      <c r="B660" s="26"/>
      <c r="C660" s="26"/>
      <c r="D660" s="39"/>
      <c r="E660" s="34" t="s">
        <v>441</v>
      </c>
      <c r="F660" s="25">
        <v>1820</v>
      </c>
      <c r="G660" s="33">
        <f>4180</f>
        <v>4180</v>
      </c>
      <c r="H660" s="33">
        <f t="shared" si="6"/>
        <v>6000</v>
      </c>
      <c r="J660" s="42"/>
      <c r="K660" s="42"/>
    </row>
    <row r="661" spans="1:18" s="68" customFormat="1" ht="37.5" x14ac:dyDescent="0.2">
      <c r="A661" s="26" t="s">
        <v>361</v>
      </c>
      <c r="B661" s="26" t="s">
        <v>307</v>
      </c>
      <c r="C661" s="26" t="s">
        <v>308</v>
      </c>
      <c r="D661" s="39" t="s">
        <v>309</v>
      </c>
      <c r="E661" s="74"/>
      <c r="F661" s="30">
        <f>SUM(F662:F668)</f>
        <v>4300000</v>
      </c>
      <c r="G661" s="30">
        <f>SUM(G662:G668)</f>
        <v>0</v>
      </c>
      <c r="H661" s="30">
        <f t="shared" si="6"/>
        <v>4300000</v>
      </c>
      <c r="I661" s="66"/>
      <c r="J661" s="67"/>
      <c r="K661" s="67"/>
      <c r="L661" s="66"/>
      <c r="M661" s="66"/>
      <c r="N661" s="66"/>
      <c r="O661" s="66"/>
      <c r="P661" s="66"/>
      <c r="Q661" s="66"/>
      <c r="R661" s="66"/>
    </row>
    <row r="662" spans="1:18" s="18" customFormat="1" ht="37.5" x14ac:dyDescent="0.2">
      <c r="A662" s="26"/>
      <c r="B662" s="26"/>
      <c r="C662" s="26"/>
      <c r="D662" s="39"/>
      <c r="E662" s="43" t="s">
        <v>407</v>
      </c>
      <c r="F662" s="45">
        <v>1000000</v>
      </c>
      <c r="G662" s="30"/>
      <c r="H662" s="33">
        <f t="shared" si="6"/>
        <v>1000000</v>
      </c>
      <c r="J662" s="42"/>
      <c r="K662" s="42"/>
    </row>
    <row r="663" spans="1:18" s="18" customFormat="1" ht="37.5" x14ac:dyDescent="0.2">
      <c r="A663" s="26"/>
      <c r="B663" s="26"/>
      <c r="C663" s="26"/>
      <c r="D663" s="39"/>
      <c r="E663" s="43" t="s">
        <v>408</v>
      </c>
      <c r="F663" s="45">
        <v>800000</v>
      </c>
      <c r="G663" s="46"/>
      <c r="H663" s="33">
        <f t="shared" si="6"/>
        <v>800000</v>
      </c>
      <c r="J663" s="42"/>
      <c r="K663" s="42"/>
    </row>
    <row r="664" spans="1:18" s="18" customFormat="1" ht="37.5" x14ac:dyDescent="0.2">
      <c r="A664" s="26"/>
      <c r="B664" s="26"/>
      <c r="C664" s="26"/>
      <c r="D664" s="39"/>
      <c r="E664" s="43" t="s">
        <v>409</v>
      </c>
      <c r="F664" s="45">
        <v>800000</v>
      </c>
      <c r="G664" s="46"/>
      <c r="H664" s="33">
        <f t="shared" si="6"/>
        <v>800000</v>
      </c>
      <c r="J664" s="42"/>
      <c r="K664" s="42"/>
    </row>
    <row r="665" spans="1:18" s="18" customFormat="1" ht="37.5" x14ac:dyDescent="0.2">
      <c r="A665" s="26"/>
      <c r="B665" s="26"/>
      <c r="C665" s="26"/>
      <c r="D665" s="39"/>
      <c r="E665" s="43" t="s">
        <v>410</v>
      </c>
      <c r="F665" s="45">
        <v>400000</v>
      </c>
      <c r="G665" s="46">
        <f>-69000</f>
        <v>-69000</v>
      </c>
      <c r="H665" s="33">
        <f>F665+G665</f>
        <v>331000</v>
      </c>
      <c r="J665" s="42"/>
      <c r="K665" s="42"/>
    </row>
    <row r="666" spans="1:18" s="18" customFormat="1" ht="37.5" x14ac:dyDescent="0.2">
      <c r="A666" s="26"/>
      <c r="B666" s="26"/>
      <c r="C666" s="26"/>
      <c r="D666" s="39"/>
      <c r="E666" s="185" t="s">
        <v>250</v>
      </c>
      <c r="F666" s="45"/>
      <c r="G666" s="46">
        <f>69000</f>
        <v>69000</v>
      </c>
      <c r="H666" s="33">
        <f>F666+G666</f>
        <v>69000</v>
      </c>
      <c r="J666" s="42"/>
      <c r="K666" s="42"/>
    </row>
    <row r="667" spans="1:18" s="18" customFormat="1" ht="37.5" x14ac:dyDescent="0.2">
      <c r="A667" s="26"/>
      <c r="B667" s="26"/>
      <c r="C667" s="26"/>
      <c r="D667" s="39"/>
      <c r="E667" s="43" t="s">
        <v>411</v>
      </c>
      <c r="F667" s="45">
        <v>600000</v>
      </c>
      <c r="G667" s="46"/>
      <c r="H667" s="33">
        <f t="shared" si="6"/>
        <v>600000</v>
      </c>
      <c r="J667" s="42"/>
      <c r="K667" s="42"/>
    </row>
    <row r="668" spans="1:18" s="18" customFormat="1" ht="37.5" x14ac:dyDescent="0.2">
      <c r="A668" s="26"/>
      <c r="B668" s="26"/>
      <c r="C668" s="26"/>
      <c r="D668" s="39"/>
      <c r="E668" s="43" t="s">
        <v>412</v>
      </c>
      <c r="F668" s="45">
        <v>700000</v>
      </c>
      <c r="G668" s="46"/>
      <c r="H668" s="33">
        <f t="shared" si="6"/>
        <v>700000</v>
      </c>
      <c r="J668" s="42"/>
      <c r="K668" s="42"/>
    </row>
    <row r="669" spans="1:18" s="18" customFormat="1" x14ac:dyDescent="0.2">
      <c r="A669" s="26" t="s">
        <v>448</v>
      </c>
      <c r="B669" s="49" t="s">
        <v>450</v>
      </c>
      <c r="C669" s="49" t="s">
        <v>449</v>
      </c>
      <c r="D669" s="50" t="s">
        <v>447</v>
      </c>
      <c r="E669" s="43"/>
      <c r="F669" s="104">
        <f>SUM(F670)</f>
        <v>2000000</v>
      </c>
      <c r="G669" s="104">
        <f>SUM(G670)</f>
        <v>0</v>
      </c>
      <c r="H669" s="30">
        <f t="shared" si="6"/>
        <v>2000000</v>
      </c>
      <c r="J669" s="42"/>
      <c r="K669" s="42"/>
    </row>
    <row r="670" spans="1:18" s="18" customFormat="1" x14ac:dyDescent="0.2">
      <c r="A670" s="54"/>
      <c r="B670" s="54"/>
      <c r="C670" s="54"/>
      <c r="D670" s="54"/>
      <c r="E670" s="43" t="s">
        <v>654</v>
      </c>
      <c r="F670" s="45">
        <v>2000000</v>
      </c>
      <c r="G670" s="46"/>
      <c r="H670" s="33">
        <f t="shared" si="6"/>
        <v>2000000</v>
      </c>
      <c r="J670" s="42"/>
      <c r="K670" s="42"/>
    </row>
    <row r="671" spans="1:18" s="131" customFormat="1" x14ac:dyDescent="0.2">
      <c r="A671" s="49" t="s">
        <v>110</v>
      </c>
      <c r="B671" s="49" t="s">
        <v>111</v>
      </c>
      <c r="C671" s="49" t="s">
        <v>112</v>
      </c>
      <c r="D671" s="49" t="s">
        <v>113</v>
      </c>
      <c r="E671" s="97"/>
      <c r="F671" s="104">
        <f>SUM(F672)</f>
        <v>2000000</v>
      </c>
      <c r="G671" s="104">
        <f>SUM(G672)</f>
        <v>2970000</v>
      </c>
      <c r="H671" s="30">
        <f>F671+G671</f>
        <v>4970000</v>
      </c>
      <c r="J671" s="140"/>
      <c r="K671" s="140"/>
    </row>
    <row r="672" spans="1:18" s="18" customFormat="1" x14ac:dyDescent="0.2">
      <c r="A672" s="54"/>
      <c r="B672" s="54"/>
      <c r="C672" s="54"/>
      <c r="D672" s="54"/>
      <c r="E672" s="185" t="s">
        <v>446</v>
      </c>
      <c r="F672" s="46">
        <f>2000000</f>
        <v>2000000</v>
      </c>
      <c r="G672" s="46">
        <f>3960000-990000</f>
        <v>2970000</v>
      </c>
      <c r="H672" s="33">
        <f t="shared" si="6"/>
        <v>4970000</v>
      </c>
      <c r="J672" s="42"/>
      <c r="K672" s="42"/>
    </row>
    <row r="673" spans="1:18" s="52" customFormat="1" ht="45" customHeight="1" x14ac:dyDescent="0.2">
      <c r="A673" s="26" t="s">
        <v>362</v>
      </c>
      <c r="B673" s="26" t="s">
        <v>297</v>
      </c>
      <c r="C673" s="26" t="s">
        <v>266</v>
      </c>
      <c r="D673" s="27" t="s">
        <v>267</v>
      </c>
      <c r="E673" s="136"/>
      <c r="F673" s="30">
        <f>F674</f>
        <v>20000000</v>
      </c>
      <c r="G673" s="30">
        <f>G674</f>
        <v>-12000000</v>
      </c>
      <c r="H673" s="30">
        <f t="shared" si="6"/>
        <v>8000000</v>
      </c>
      <c r="I673" s="63"/>
      <c r="J673" s="64"/>
      <c r="K673" s="64"/>
      <c r="L673" s="63"/>
      <c r="M673" s="63"/>
      <c r="N673" s="63"/>
      <c r="O673" s="63"/>
      <c r="P673" s="63"/>
      <c r="Q673" s="63"/>
      <c r="R673" s="63"/>
    </row>
    <row r="674" spans="1:18" s="18" customFormat="1" ht="41.25" customHeight="1" x14ac:dyDescent="0.2">
      <c r="A674" s="26"/>
      <c r="B674" s="26"/>
      <c r="C674" s="26"/>
      <c r="D674" s="73"/>
      <c r="E674" s="34" t="s">
        <v>371</v>
      </c>
      <c r="F674" s="33">
        <v>20000000</v>
      </c>
      <c r="G674" s="46">
        <f>-7000000-5000000</f>
        <v>-12000000</v>
      </c>
      <c r="H674" s="33">
        <f t="shared" si="6"/>
        <v>8000000</v>
      </c>
      <c r="I674" s="3"/>
      <c r="J674" s="17"/>
      <c r="K674" s="17"/>
      <c r="L674" s="3"/>
      <c r="M674" s="3"/>
      <c r="N674" s="3"/>
      <c r="O674" s="3"/>
      <c r="P674" s="3"/>
      <c r="Q674" s="3"/>
      <c r="R674" s="3"/>
    </row>
    <row r="675" spans="1:18" s="18" customFormat="1" ht="41.25" customHeight="1" x14ac:dyDescent="0.2">
      <c r="A675" s="20" t="s">
        <v>414</v>
      </c>
      <c r="B675" s="20"/>
      <c r="C675" s="20"/>
      <c r="D675" s="19" t="s">
        <v>444</v>
      </c>
      <c r="E675" s="40"/>
      <c r="F675" s="13">
        <f>F677</f>
        <v>390000</v>
      </c>
      <c r="G675" s="13">
        <f>G677</f>
        <v>-200000</v>
      </c>
      <c r="H675" s="13">
        <f t="shared" si="6"/>
        <v>190000</v>
      </c>
      <c r="I675" s="3"/>
      <c r="J675" s="17"/>
      <c r="K675" s="17"/>
      <c r="L675" s="3"/>
      <c r="M675" s="3"/>
      <c r="N675" s="3"/>
      <c r="O675" s="3"/>
      <c r="P675" s="3"/>
      <c r="Q675" s="3"/>
      <c r="R675" s="3"/>
    </row>
    <row r="676" spans="1:18" s="18" customFormat="1" ht="41.25" customHeight="1" x14ac:dyDescent="0.2">
      <c r="A676" s="20" t="s">
        <v>415</v>
      </c>
      <c r="B676" s="20"/>
      <c r="C676" s="20"/>
      <c r="D676" s="36" t="s">
        <v>444</v>
      </c>
      <c r="E676" s="40"/>
      <c r="F676" s="33"/>
      <c r="G676" s="46"/>
      <c r="H676" s="13">
        <f t="shared" si="6"/>
        <v>0</v>
      </c>
      <c r="I676" s="3"/>
      <c r="J676" s="17"/>
      <c r="K676" s="17"/>
      <c r="L676" s="3"/>
      <c r="M676" s="3"/>
      <c r="N676" s="3"/>
      <c r="O676" s="3"/>
      <c r="P676" s="3"/>
      <c r="Q676" s="3"/>
      <c r="R676" s="3"/>
    </row>
    <row r="677" spans="1:18" s="18" customFormat="1" ht="60.75" customHeight="1" x14ac:dyDescent="0.2">
      <c r="A677" s="26" t="s">
        <v>466</v>
      </c>
      <c r="B677" s="49" t="s">
        <v>317</v>
      </c>
      <c r="C677" s="49" t="s">
        <v>258</v>
      </c>
      <c r="D677" s="50" t="s">
        <v>318</v>
      </c>
      <c r="E677" s="74"/>
      <c r="F677" s="30">
        <f>SUM(F678:F679)</f>
        <v>390000</v>
      </c>
      <c r="G677" s="30">
        <f>SUM(G678:G679)</f>
        <v>-200000</v>
      </c>
      <c r="H677" s="30">
        <f t="shared" si="6"/>
        <v>190000</v>
      </c>
      <c r="I677" s="3"/>
      <c r="J677" s="17"/>
      <c r="K677" s="17"/>
      <c r="L677" s="3"/>
      <c r="M677" s="3"/>
      <c r="N677" s="3"/>
      <c r="O677" s="3"/>
      <c r="P677" s="3"/>
      <c r="Q677" s="3"/>
      <c r="R677" s="3"/>
    </row>
    <row r="678" spans="1:18" s="18" customFormat="1" ht="41.25" customHeight="1" x14ac:dyDescent="0.2">
      <c r="A678" s="26"/>
      <c r="B678" s="26"/>
      <c r="C678" s="26"/>
      <c r="D678" s="137"/>
      <c r="E678" s="138" t="s">
        <v>655</v>
      </c>
      <c r="F678" s="33">
        <v>90000</v>
      </c>
      <c r="G678" s="33"/>
      <c r="H678" s="33">
        <f t="shared" si="6"/>
        <v>90000</v>
      </c>
      <c r="I678" s="3"/>
      <c r="J678" s="17"/>
      <c r="K678" s="17"/>
      <c r="L678" s="3"/>
      <c r="M678" s="3"/>
      <c r="N678" s="3"/>
      <c r="O678" s="3"/>
      <c r="P678" s="3"/>
      <c r="Q678" s="3"/>
      <c r="R678" s="3"/>
    </row>
    <row r="679" spans="1:18" s="18" customFormat="1" ht="21.75" customHeight="1" x14ac:dyDescent="0.2">
      <c r="A679" s="26"/>
      <c r="B679" s="26"/>
      <c r="C679" s="26"/>
      <c r="D679" s="81"/>
      <c r="E679" s="31" t="s">
        <v>462</v>
      </c>
      <c r="F679" s="33">
        <v>300000</v>
      </c>
      <c r="G679" s="33">
        <f>-200000</f>
        <v>-200000</v>
      </c>
      <c r="H679" s="33">
        <f t="shared" si="6"/>
        <v>100000</v>
      </c>
      <c r="I679" s="3"/>
      <c r="J679" s="17"/>
      <c r="K679" s="17"/>
      <c r="L679" s="3"/>
      <c r="M679" s="3"/>
      <c r="N679" s="3"/>
      <c r="O679" s="3"/>
      <c r="P679" s="3"/>
      <c r="Q679" s="3"/>
      <c r="R679" s="3"/>
    </row>
    <row r="680" spans="1:18" s="18" customFormat="1" ht="41.25" customHeight="1" x14ac:dyDescent="0.2">
      <c r="A680" s="20" t="s">
        <v>422</v>
      </c>
      <c r="B680" s="20"/>
      <c r="C680" s="20"/>
      <c r="D680" s="19" t="s">
        <v>423</v>
      </c>
      <c r="E680" s="40"/>
      <c r="F680" s="13">
        <f>F682+F684</f>
        <v>5920126</v>
      </c>
      <c r="G680" s="13">
        <f>G682+G684</f>
        <v>0</v>
      </c>
      <c r="H680" s="13">
        <f t="shared" ref="H680:H716" si="9">F680+G680</f>
        <v>5920126</v>
      </c>
      <c r="I680" s="3"/>
      <c r="J680" s="17"/>
      <c r="K680" s="17"/>
      <c r="L680" s="3"/>
      <c r="M680" s="3"/>
      <c r="N680" s="3"/>
      <c r="O680" s="3"/>
      <c r="P680" s="3"/>
      <c r="Q680" s="3"/>
      <c r="R680" s="3"/>
    </row>
    <row r="681" spans="1:18" s="18" customFormat="1" ht="41.25" customHeight="1" x14ac:dyDescent="0.2">
      <c r="A681" s="20" t="s">
        <v>424</v>
      </c>
      <c r="B681" s="20"/>
      <c r="C681" s="20"/>
      <c r="D681" s="36" t="s">
        <v>423</v>
      </c>
      <c r="E681" s="40"/>
      <c r="F681" s="33"/>
      <c r="G681" s="46"/>
      <c r="H681" s="33">
        <f t="shared" si="9"/>
        <v>0</v>
      </c>
      <c r="I681" s="3"/>
      <c r="J681" s="17"/>
      <c r="K681" s="17"/>
      <c r="L681" s="3"/>
      <c r="M681" s="3"/>
      <c r="N681" s="3"/>
      <c r="O681" s="3"/>
      <c r="P681" s="3"/>
      <c r="Q681" s="3"/>
      <c r="R681" s="3"/>
    </row>
    <row r="682" spans="1:18" s="18" customFormat="1" ht="68.25" customHeight="1" x14ac:dyDescent="0.2">
      <c r="A682" s="26" t="s">
        <v>425</v>
      </c>
      <c r="B682" s="49" t="s">
        <v>317</v>
      </c>
      <c r="C682" s="49" t="s">
        <v>258</v>
      </c>
      <c r="D682" s="50" t="s">
        <v>318</v>
      </c>
      <c r="E682" s="74"/>
      <c r="F682" s="30">
        <f>F683</f>
        <v>74000</v>
      </c>
      <c r="G682" s="30">
        <f>G683</f>
        <v>0</v>
      </c>
      <c r="H682" s="30">
        <f t="shared" si="9"/>
        <v>74000</v>
      </c>
      <c r="I682" s="3"/>
      <c r="J682" s="17"/>
      <c r="K682" s="17"/>
      <c r="L682" s="3"/>
      <c r="M682" s="3"/>
      <c r="N682" s="3"/>
      <c r="O682" s="3"/>
      <c r="P682" s="3"/>
      <c r="Q682" s="3"/>
      <c r="R682" s="3"/>
    </row>
    <row r="683" spans="1:18" s="18" customFormat="1" ht="41.25" customHeight="1" x14ac:dyDescent="0.2">
      <c r="A683" s="26"/>
      <c r="B683" s="26"/>
      <c r="C683" s="26"/>
      <c r="D683" s="137"/>
      <c r="E683" s="139" t="s">
        <v>419</v>
      </c>
      <c r="F683" s="33">
        <v>74000</v>
      </c>
      <c r="G683" s="46"/>
      <c r="H683" s="33">
        <f t="shared" si="9"/>
        <v>74000</v>
      </c>
      <c r="I683" s="3"/>
      <c r="J683" s="17"/>
      <c r="K683" s="17"/>
      <c r="L683" s="3"/>
      <c r="M683" s="3"/>
      <c r="N683" s="3"/>
      <c r="O683" s="3"/>
      <c r="P683" s="3"/>
      <c r="Q683" s="3"/>
      <c r="R683" s="3"/>
    </row>
    <row r="684" spans="1:18" s="18" customFormat="1" ht="41.25" customHeight="1" x14ac:dyDescent="0.2">
      <c r="A684" s="26" t="s">
        <v>245</v>
      </c>
      <c r="B684" s="26" t="s">
        <v>257</v>
      </c>
      <c r="C684" s="26" t="s">
        <v>268</v>
      </c>
      <c r="D684" s="39" t="s">
        <v>298</v>
      </c>
      <c r="E684" s="31"/>
      <c r="F684" s="30">
        <f>F685</f>
        <v>5846126</v>
      </c>
      <c r="G684" s="30">
        <f>G685</f>
        <v>0</v>
      </c>
      <c r="H684" s="30">
        <f>F684+G684</f>
        <v>5846126</v>
      </c>
      <c r="I684" s="3"/>
      <c r="J684" s="17"/>
      <c r="K684" s="17"/>
      <c r="L684" s="3"/>
      <c r="M684" s="3"/>
      <c r="N684" s="3"/>
      <c r="O684" s="3"/>
      <c r="P684" s="3"/>
      <c r="Q684" s="3"/>
      <c r="R684" s="3"/>
    </row>
    <row r="685" spans="1:18" s="18" customFormat="1" ht="60" customHeight="1" x14ac:dyDescent="0.2">
      <c r="A685" s="26"/>
      <c r="B685" s="26"/>
      <c r="C685" s="26"/>
      <c r="D685" s="81"/>
      <c r="E685" s="187" t="s">
        <v>123</v>
      </c>
      <c r="F685" s="33">
        <v>5846126</v>
      </c>
      <c r="G685" s="46"/>
      <c r="H685" s="33">
        <f t="shared" si="9"/>
        <v>5846126</v>
      </c>
      <c r="I685" s="3"/>
      <c r="J685" s="17"/>
      <c r="K685" s="17"/>
      <c r="L685" s="3"/>
      <c r="M685" s="3"/>
      <c r="N685" s="3"/>
      <c r="O685" s="3"/>
      <c r="P685" s="3"/>
      <c r="Q685" s="3"/>
      <c r="R685" s="3"/>
    </row>
    <row r="686" spans="1:18" s="53" customFormat="1" ht="37.5" x14ac:dyDescent="0.2">
      <c r="A686" s="20" t="s">
        <v>363</v>
      </c>
      <c r="B686" s="20"/>
      <c r="C686" s="20"/>
      <c r="D686" s="20" t="s">
        <v>285</v>
      </c>
      <c r="E686" s="40"/>
      <c r="F686" s="13">
        <f>F688+F693+F691+F715</f>
        <v>35844500</v>
      </c>
      <c r="G686" s="13">
        <f>G688+G693+G691+G715</f>
        <v>3380000</v>
      </c>
      <c r="H686" s="13">
        <f t="shared" si="9"/>
        <v>39224500</v>
      </c>
      <c r="I686" s="64"/>
      <c r="J686" s="64"/>
      <c r="K686" s="64"/>
      <c r="L686" s="64"/>
      <c r="M686" s="64"/>
      <c r="N686" s="64"/>
      <c r="O686" s="64"/>
      <c r="P686" s="64"/>
      <c r="Q686" s="64"/>
      <c r="R686" s="64"/>
    </row>
    <row r="687" spans="1:18" s="140" customFormat="1" ht="37.5" x14ac:dyDescent="0.2">
      <c r="A687" s="20" t="s">
        <v>364</v>
      </c>
      <c r="B687" s="20"/>
      <c r="C687" s="20"/>
      <c r="D687" s="23" t="s">
        <v>285</v>
      </c>
      <c r="E687" s="40"/>
      <c r="F687" s="13"/>
      <c r="G687" s="33"/>
      <c r="H687" s="33">
        <f t="shared" si="9"/>
        <v>0</v>
      </c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1:18" s="52" customFormat="1" ht="56.25" x14ac:dyDescent="0.2">
      <c r="A688" s="26" t="s">
        <v>365</v>
      </c>
      <c r="B688" s="49" t="s">
        <v>317</v>
      </c>
      <c r="C688" s="49" t="s">
        <v>258</v>
      </c>
      <c r="D688" s="50" t="s">
        <v>318</v>
      </c>
      <c r="E688" s="74"/>
      <c r="F688" s="30">
        <f>SUM(F689:F690)</f>
        <v>2000000</v>
      </c>
      <c r="G688" s="30">
        <f>SUM(G689:G690)</f>
        <v>0</v>
      </c>
      <c r="H688" s="30">
        <f t="shared" si="9"/>
        <v>2000000</v>
      </c>
      <c r="I688" s="63"/>
      <c r="J688" s="64"/>
      <c r="K688" s="64"/>
      <c r="L688" s="63"/>
      <c r="M688" s="63"/>
      <c r="N688" s="63"/>
      <c r="O688" s="63"/>
      <c r="P688" s="63"/>
      <c r="Q688" s="63"/>
      <c r="R688" s="63"/>
    </row>
    <row r="689" spans="1:18" s="18" customFormat="1" ht="38.25" customHeight="1" x14ac:dyDescent="0.2">
      <c r="A689" s="26"/>
      <c r="B689" s="26"/>
      <c r="C689" s="26"/>
      <c r="D689" s="137"/>
      <c r="E689" s="138" t="s">
        <v>656</v>
      </c>
      <c r="F689" s="33">
        <v>600000</v>
      </c>
      <c r="G689" s="33"/>
      <c r="H689" s="33">
        <f t="shared" si="9"/>
        <v>600000</v>
      </c>
      <c r="I689" s="3"/>
      <c r="J689" s="17"/>
      <c r="K689" s="17"/>
      <c r="L689" s="3"/>
      <c r="M689" s="3"/>
      <c r="N689" s="3"/>
      <c r="O689" s="3"/>
      <c r="P689" s="3"/>
      <c r="Q689" s="3"/>
      <c r="R689" s="3"/>
    </row>
    <row r="690" spans="1:18" s="18" customFormat="1" ht="21.75" customHeight="1" x14ac:dyDescent="0.2">
      <c r="A690" s="26"/>
      <c r="B690" s="26"/>
      <c r="C690" s="26"/>
      <c r="D690" s="81"/>
      <c r="E690" s="31" t="s">
        <v>288</v>
      </c>
      <c r="F690" s="33">
        <v>1400000</v>
      </c>
      <c r="G690" s="33"/>
      <c r="H690" s="33">
        <f t="shared" si="9"/>
        <v>1400000</v>
      </c>
      <c r="I690" s="3"/>
      <c r="J690" s="17"/>
      <c r="K690" s="17"/>
      <c r="L690" s="3"/>
      <c r="M690" s="3"/>
      <c r="N690" s="3"/>
      <c r="O690" s="3"/>
      <c r="P690" s="3"/>
      <c r="Q690" s="3"/>
      <c r="R690" s="3"/>
    </row>
    <row r="691" spans="1:18" s="18" customFormat="1" ht="21.75" customHeight="1" x14ac:dyDescent="0.2">
      <c r="A691" s="26" t="s">
        <v>427</v>
      </c>
      <c r="B691" s="26" t="s">
        <v>257</v>
      </c>
      <c r="C691" s="26" t="s">
        <v>268</v>
      </c>
      <c r="D691" s="39" t="s">
        <v>298</v>
      </c>
      <c r="E691" s="31"/>
      <c r="F691" s="30">
        <f>SUM(F692)</f>
        <v>1500000</v>
      </c>
      <c r="G691" s="30">
        <f>SUM(G692)</f>
        <v>0</v>
      </c>
      <c r="H691" s="30">
        <f t="shared" si="9"/>
        <v>1500000</v>
      </c>
      <c r="I691" s="3"/>
      <c r="J691" s="17"/>
      <c r="K691" s="17"/>
      <c r="L691" s="3"/>
      <c r="M691" s="3"/>
      <c r="N691" s="3"/>
      <c r="O691" s="3"/>
      <c r="P691" s="3"/>
      <c r="Q691" s="3"/>
      <c r="R691" s="3"/>
    </row>
    <row r="692" spans="1:18" s="18" customFormat="1" ht="44.25" customHeight="1" x14ac:dyDescent="0.2">
      <c r="A692" s="26"/>
      <c r="B692" s="26"/>
      <c r="C692" s="26"/>
      <c r="D692" s="81"/>
      <c r="E692" s="34" t="s">
        <v>439</v>
      </c>
      <c r="F692" s="33">
        <v>1500000</v>
      </c>
      <c r="G692" s="33"/>
      <c r="H692" s="33">
        <f t="shared" si="9"/>
        <v>1500000</v>
      </c>
      <c r="I692" s="3"/>
      <c r="J692" s="17"/>
      <c r="K692" s="17"/>
      <c r="L692" s="3"/>
      <c r="M692" s="3"/>
      <c r="N692" s="3"/>
      <c r="O692" s="3"/>
      <c r="P692" s="3"/>
      <c r="Q692" s="3"/>
      <c r="R692" s="3"/>
    </row>
    <row r="693" spans="1:18" s="52" customFormat="1" x14ac:dyDescent="0.2">
      <c r="A693" s="26" t="s">
        <v>366</v>
      </c>
      <c r="B693" s="26" t="s">
        <v>292</v>
      </c>
      <c r="C693" s="26" t="s">
        <v>257</v>
      </c>
      <c r="D693" s="50" t="s">
        <v>293</v>
      </c>
      <c r="E693" s="79"/>
      <c r="F693" s="30">
        <f>SUM(F694:F714)</f>
        <v>31844500</v>
      </c>
      <c r="G693" s="30">
        <f>SUM(G694:G714)</f>
        <v>3380000</v>
      </c>
      <c r="H693" s="30">
        <f t="shared" si="9"/>
        <v>35224500</v>
      </c>
      <c r="I693" s="63"/>
      <c r="J693" s="64"/>
      <c r="K693" s="64"/>
      <c r="L693" s="63"/>
      <c r="M693" s="63"/>
      <c r="N693" s="63"/>
      <c r="O693" s="63"/>
      <c r="P693" s="63"/>
      <c r="Q693" s="63"/>
      <c r="R693" s="63"/>
    </row>
    <row r="694" spans="1:18" s="18" customFormat="1" ht="24.75" customHeight="1" x14ac:dyDescent="0.2">
      <c r="A694" s="26"/>
      <c r="B694" s="26"/>
      <c r="C694" s="26"/>
      <c r="D694" s="31"/>
      <c r="E694" s="31" t="s">
        <v>302</v>
      </c>
      <c r="F694" s="33">
        <v>2000000</v>
      </c>
      <c r="G694" s="45"/>
      <c r="H694" s="33">
        <f t="shared" si="9"/>
        <v>2000000</v>
      </c>
      <c r="I694" s="3"/>
      <c r="J694" s="17"/>
      <c r="K694" s="17"/>
      <c r="L694" s="3"/>
      <c r="M694" s="3"/>
      <c r="N694" s="3"/>
      <c r="O694" s="3"/>
      <c r="P694" s="3"/>
      <c r="Q694" s="3"/>
      <c r="R694" s="3"/>
    </row>
    <row r="695" spans="1:18" s="18" customFormat="1" ht="24.75" customHeight="1" x14ac:dyDescent="0.2">
      <c r="A695" s="26"/>
      <c r="B695" s="26"/>
      <c r="C695" s="26"/>
      <c r="D695" s="31"/>
      <c r="E695" s="31" t="s">
        <v>303</v>
      </c>
      <c r="F695" s="33">
        <v>1000000</v>
      </c>
      <c r="G695" s="45">
        <f>1150000+1500000</f>
        <v>2650000</v>
      </c>
      <c r="H695" s="33">
        <f t="shared" si="9"/>
        <v>3650000</v>
      </c>
      <c r="I695" s="3"/>
      <c r="J695" s="17"/>
      <c r="K695" s="17"/>
      <c r="L695" s="3"/>
      <c r="M695" s="3"/>
      <c r="N695" s="3"/>
      <c r="O695" s="3"/>
      <c r="P695" s="3"/>
      <c r="Q695" s="3"/>
      <c r="R695" s="3"/>
    </row>
    <row r="696" spans="1:18" s="18" customFormat="1" ht="39.75" customHeight="1" x14ac:dyDescent="0.2">
      <c r="A696" s="26"/>
      <c r="B696" s="26"/>
      <c r="C696" s="26"/>
      <c r="D696" s="31"/>
      <c r="E696" s="31" t="s">
        <v>63</v>
      </c>
      <c r="F696" s="33">
        <v>400000</v>
      </c>
      <c r="G696" s="45">
        <f>-200000</f>
        <v>-200000</v>
      </c>
      <c r="H696" s="33">
        <f t="shared" si="9"/>
        <v>200000</v>
      </c>
      <c r="I696" s="3"/>
      <c r="J696" s="17"/>
      <c r="K696" s="17"/>
      <c r="L696" s="3"/>
      <c r="M696" s="3"/>
      <c r="N696" s="3"/>
      <c r="O696" s="3"/>
      <c r="P696" s="3"/>
      <c r="Q696" s="3"/>
      <c r="R696" s="3"/>
    </row>
    <row r="697" spans="1:18" s="18" customFormat="1" ht="24.75" customHeight="1" x14ac:dyDescent="0.2">
      <c r="A697" s="26"/>
      <c r="B697" s="26"/>
      <c r="C697" s="26"/>
      <c r="D697" s="31"/>
      <c r="E697" s="31" t="s">
        <v>304</v>
      </c>
      <c r="F697" s="33">
        <v>2000000</v>
      </c>
      <c r="G697" s="46">
        <f>-200000</f>
        <v>-200000</v>
      </c>
      <c r="H697" s="33">
        <f t="shared" si="9"/>
        <v>1800000</v>
      </c>
      <c r="I697" s="3"/>
      <c r="J697" s="17"/>
      <c r="K697" s="17"/>
      <c r="L697" s="3"/>
      <c r="M697" s="3"/>
      <c r="N697" s="3"/>
      <c r="O697" s="3"/>
      <c r="P697" s="3"/>
      <c r="Q697" s="3"/>
      <c r="R697" s="3"/>
    </row>
    <row r="698" spans="1:18" s="18" customFormat="1" ht="41.25" customHeight="1" x14ac:dyDescent="0.2">
      <c r="A698" s="26"/>
      <c r="B698" s="26"/>
      <c r="C698" s="26"/>
      <c r="D698" s="31"/>
      <c r="E698" s="176" t="s">
        <v>217</v>
      </c>
      <c r="F698" s="33"/>
      <c r="G698" s="46">
        <f>400000</f>
        <v>400000</v>
      </c>
      <c r="H698" s="33">
        <f t="shared" si="9"/>
        <v>400000</v>
      </c>
      <c r="I698" s="3"/>
      <c r="J698" s="17"/>
      <c r="K698" s="17"/>
      <c r="L698" s="3"/>
      <c r="M698" s="3"/>
      <c r="N698" s="3"/>
      <c r="O698" s="3"/>
      <c r="P698" s="3"/>
      <c r="Q698" s="3"/>
      <c r="R698" s="3"/>
    </row>
    <row r="699" spans="1:18" s="18" customFormat="1" ht="24.75" customHeight="1" x14ac:dyDescent="0.2">
      <c r="A699" s="26"/>
      <c r="B699" s="26"/>
      <c r="C699" s="26"/>
      <c r="D699" s="31"/>
      <c r="E699" s="31" t="s">
        <v>305</v>
      </c>
      <c r="F699" s="33">
        <v>1000000</v>
      </c>
      <c r="G699" s="25"/>
      <c r="H699" s="33">
        <f t="shared" si="9"/>
        <v>1000000</v>
      </c>
      <c r="I699" s="3"/>
      <c r="J699" s="17"/>
      <c r="K699" s="17"/>
      <c r="L699" s="3"/>
      <c r="M699" s="3"/>
      <c r="N699" s="3"/>
      <c r="O699" s="3"/>
      <c r="P699" s="3"/>
      <c r="Q699" s="3"/>
      <c r="R699" s="3"/>
    </row>
    <row r="700" spans="1:18" s="18" customFormat="1" ht="34.5" customHeight="1" x14ac:dyDescent="0.2">
      <c r="A700" s="26"/>
      <c r="B700" s="26"/>
      <c r="C700" s="26"/>
      <c r="D700" s="31"/>
      <c r="E700" s="176" t="s">
        <v>131</v>
      </c>
      <c r="F700" s="33">
        <v>300000</v>
      </c>
      <c r="G700" s="25"/>
      <c r="H700" s="33">
        <f t="shared" si="9"/>
        <v>300000</v>
      </c>
      <c r="I700" s="3"/>
      <c r="J700" s="17"/>
      <c r="K700" s="17"/>
      <c r="L700" s="3"/>
      <c r="M700" s="3"/>
      <c r="N700" s="3"/>
      <c r="O700" s="3"/>
      <c r="P700" s="3"/>
      <c r="Q700" s="3"/>
      <c r="R700" s="3"/>
    </row>
    <row r="701" spans="1:18" s="18" customFormat="1" ht="25.5" customHeight="1" x14ac:dyDescent="0.2">
      <c r="A701" s="26"/>
      <c r="B701" s="26"/>
      <c r="C701" s="26"/>
      <c r="D701" s="31"/>
      <c r="E701" s="31" t="s">
        <v>709</v>
      </c>
      <c r="F701" s="25">
        <v>1000000</v>
      </c>
      <c r="G701" s="25"/>
      <c r="H701" s="33">
        <f t="shared" si="9"/>
        <v>1000000</v>
      </c>
      <c r="I701" s="3"/>
      <c r="J701" s="17"/>
      <c r="K701" s="17"/>
      <c r="L701" s="3"/>
      <c r="M701" s="3"/>
      <c r="N701" s="3"/>
      <c r="O701" s="3"/>
      <c r="P701" s="3"/>
      <c r="Q701" s="3"/>
      <c r="R701" s="3"/>
    </row>
    <row r="702" spans="1:18" s="18" customFormat="1" ht="25.5" customHeight="1" x14ac:dyDescent="0.2">
      <c r="A702" s="26"/>
      <c r="B702" s="26"/>
      <c r="C702" s="26"/>
      <c r="D702" s="31"/>
      <c r="E702" s="31" t="s">
        <v>710</v>
      </c>
      <c r="F702" s="25">
        <v>600000</v>
      </c>
      <c r="G702" s="25">
        <f>-470000</f>
        <v>-470000</v>
      </c>
      <c r="H702" s="33">
        <f t="shared" si="9"/>
        <v>130000</v>
      </c>
      <c r="I702" s="3"/>
      <c r="J702" s="17"/>
      <c r="K702" s="17"/>
      <c r="L702" s="3"/>
      <c r="M702" s="3"/>
      <c r="N702" s="3"/>
      <c r="O702" s="3"/>
      <c r="P702" s="3"/>
      <c r="Q702" s="3"/>
      <c r="R702" s="3"/>
    </row>
    <row r="703" spans="1:18" s="18" customFormat="1" ht="25.5" customHeight="1" x14ac:dyDescent="0.2">
      <c r="A703" s="26"/>
      <c r="B703" s="26"/>
      <c r="C703" s="26"/>
      <c r="D703" s="31"/>
      <c r="E703" s="31" t="s">
        <v>691</v>
      </c>
      <c r="F703" s="25">
        <v>1000000</v>
      </c>
      <c r="G703" s="25"/>
      <c r="H703" s="33">
        <f t="shared" si="9"/>
        <v>1000000</v>
      </c>
      <c r="I703" s="3"/>
      <c r="J703" s="17"/>
      <c r="K703" s="17"/>
      <c r="L703" s="3"/>
      <c r="M703" s="3"/>
      <c r="N703" s="3"/>
      <c r="O703" s="3"/>
      <c r="P703" s="3"/>
      <c r="Q703" s="3"/>
      <c r="R703" s="3"/>
    </row>
    <row r="704" spans="1:18" s="18" customFormat="1" ht="25.5" customHeight="1" x14ac:dyDescent="0.2">
      <c r="A704" s="26"/>
      <c r="B704" s="26"/>
      <c r="C704" s="26"/>
      <c r="D704" s="31"/>
      <c r="E704" s="31" t="s">
        <v>74</v>
      </c>
      <c r="F704" s="25">
        <v>1500000</v>
      </c>
      <c r="G704" s="25">
        <f>600000+500000-300000+500000</f>
        <v>1300000</v>
      </c>
      <c r="H704" s="33">
        <f t="shared" si="9"/>
        <v>2800000</v>
      </c>
      <c r="I704" s="3"/>
      <c r="J704" s="17"/>
      <c r="K704" s="17"/>
      <c r="L704" s="3"/>
      <c r="M704" s="3"/>
      <c r="N704" s="3"/>
      <c r="O704" s="3"/>
      <c r="P704" s="3"/>
      <c r="Q704" s="3"/>
      <c r="R704" s="3"/>
    </row>
    <row r="705" spans="1:23" s="18" customFormat="1" ht="25.5" customHeight="1" x14ac:dyDescent="0.2">
      <c r="A705" s="26"/>
      <c r="B705" s="26"/>
      <c r="C705" s="26"/>
      <c r="D705" s="31"/>
      <c r="E705" s="176" t="s">
        <v>85</v>
      </c>
      <c r="F705" s="25">
        <v>1000000</v>
      </c>
      <c r="G705" s="25"/>
      <c r="H705" s="33">
        <f t="shared" si="9"/>
        <v>1000000</v>
      </c>
      <c r="I705" s="3"/>
      <c r="J705" s="17"/>
      <c r="K705" s="17"/>
      <c r="L705" s="3"/>
      <c r="M705" s="3"/>
      <c r="N705" s="3"/>
      <c r="O705" s="3"/>
      <c r="P705" s="3"/>
      <c r="Q705" s="3"/>
      <c r="R705" s="3"/>
    </row>
    <row r="706" spans="1:23" s="18" customFormat="1" ht="25.5" customHeight="1" x14ac:dyDescent="0.2">
      <c r="A706" s="26"/>
      <c r="B706" s="26"/>
      <c r="C706" s="26"/>
      <c r="D706" s="31"/>
      <c r="E706" s="176" t="s">
        <v>86</v>
      </c>
      <c r="F706" s="25">
        <v>800000</v>
      </c>
      <c r="G706" s="25"/>
      <c r="H706" s="33">
        <f t="shared" si="9"/>
        <v>800000</v>
      </c>
      <c r="I706" s="3"/>
      <c r="J706" s="17"/>
      <c r="K706" s="17"/>
      <c r="L706" s="3"/>
      <c r="M706" s="3"/>
      <c r="N706" s="3"/>
      <c r="O706" s="3"/>
      <c r="P706" s="3"/>
      <c r="Q706" s="3"/>
      <c r="R706" s="3"/>
    </row>
    <row r="707" spans="1:23" s="18" customFormat="1" ht="25.5" customHeight="1" x14ac:dyDescent="0.2">
      <c r="A707" s="26"/>
      <c r="B707" s="26"/>
      <c r="C707" s="26"/>
      <c r="D707" s="31"/>
      <c r="E707" s="176" t="s">
        <v>142</v>
      </c>
      <c r="F707" s="25">
        <f>1000000</f>
        <v>1000000</v>
      </c>
      <c r="G707" s="25"/>
      <c r="H707" s="33">
        <f t="shared" si="9"/>
        <v>1000000</v>
      </c>
      <c r="I707" s="3"/>
      <c r="J707" s="17"/>
      <c r="K707" s="17"/>
      <c r="L707" s="3"/>
      <c r="M707" s="3"/>
      <c r="N707" s="3"/>
      <c r="O707" s="3"/>
      <c r="P707" s="3"/>
      <c r="Q707" s="3"/>
      <c r="R707" s="3"/>
    </row>
    <row r="708" spans="1:23" s="18" customFormat="1" ht="38.25" customHeight="1" x14ac:dyDescent="0.2">
      <c r="A708" s="26"/>
      <c r="B708" s="26"/>
      <c r="C708" s="26"/>
      <c r="D708" s="31"/>
      <c r="E708" s="31" t="s">
        <v>711</v>
      </c>
      <c r="F708" s="25">
        <v>4000000</v>
      </c>
      <c r="G708" s="25"/>
      <c r="H708" s="33">
        <f t="shared" si="9"/>
        <v>4000000</v>
      </c>
      <c r="I708" s="3"/>
      <c r="J708" s="17"/>
      <c r="K708" s="17"/>
      <c r="L708" s="3"/>
      <c r="M708" s="3"/>
      <c r="N708" s="3"/>
      <c r="O708" s="3"/>
      <c r="P708" s="3"/>
      <c r="Q708" s="3"/>
      <c r="R708" s="3"/>
    </row>
    <row r="709" spans="1:23" s="18" customFormat="1" ht="38.25" customHeight="1" x14ac:dyDescent="0.2">
      <c r="A709" s="26"/>
      <c r="B709" s="26"/>
      <c r="C709" s="26"/>
      <c r="D709" s="31"/>
      <c r="E709" s="31" t="s">
        <v>708</v>
      </c>
      <c r="F709" s="25">
        <v>198000</v>
      </c>
      <c r="G709" s="25"/>
      <c r="H709" s="33">
        <f>F709+G709</f>
        <v>198000</v>
      </c>
      <c r="I709" s="3"/>
      <c r="J709" s="17"/>
      <c r="K709" s="17"/>
      <c r="L709" s="3"/>
      <c r="M709" s="3"/>
      <c r="N709" s="3"/>
      <c r="O709" s="3"/>
      <c r="P709" s="3"/>
      <c r="Q709" s="3"/>
      <c r="R709" s="3"/>
    </row>
    <row r="710" spans="1:23" s="18" customFormat="1" ht="83.25" customHeight="1" x14ac:dyDescent="0.2">
      <c r="A710" s="26"/>
      <c r="B710" s="26"/>
      <c r="C710" s="26"/>
      <c r="D710" s="31"/>
      <c r="E710" s="176" t="s">
        <v>235</v>
      </c>
      <c r="F710" s="25">
        <f>12000000</f>
        <v>12000000</v>
      </c>
      <c r="G710" s="25"/>
      <c r="H710" s="33">
        <f>F710+G710</f>
        <v>12000000</v>
      </c>
      <c r="I710" s="3"/>
      <c r="J710" s="17"/>
      <c r="K710" s="17"/>
      <c r="L710" s="3"/>
      <c r="M710" s="3"/>
      <c r="N710" s="3"/>
      <c r="O710" s="3"/>
      <c r="P710" s="3"/>
      <c r="Q710" s="3"/>
      <c r="R710" s="3"/>
    </row>
    <row r="711" spans="1:23" s="18" customFormat="1" ht="102.75" customHeight="1" x14ac:dyDescent="0.2">
      <c r="A711" s="26"/>
      <c r="B711" s="26"/>
      <c r="C711" s="26"/>
      <c r="D711" s="31"/>
      <c r="E711" s="176" t="s">
        <v>84</v>
      </c>
      <c r="F711" s="25">
        <v>1226500</v>
      </c>
      <c r="G711" s="25"/>
      <c r="H711" s="33">
        <f>F711+G711</f>
        <v>1226500</v>
      </c>
      <c r="I711" s="3"/>
      <c r="J711" s="17"/>
      <c r="K711" s="17"/>
      <c r="L711" s="3"/>
      <c r="M711" s="3"/>
      <c r="N711" s="3"/>
      <c r="O711" s="3"/>
      <c r="P711" s="3"/>
      <c r="Q711" s="3"/>
      <c r="R711" s="3"/>
    </row>
    <row r="712" spans="1:23" s="18" customFormat="1" ht="96.75" customHeight="1" x14ac:dyDescent="0.2">
      <c r="A712" s="26"/>
      <c r="B712" s="26"/>
      <c r="C712" s="26"/>
      <c r="D712" s="31"/>
      <c r="E712" s="31" t="s">
        <v>712</v>
      </c>
      <c r="F712" s="25">
        <v>420000</v>
      </c>
      <c r="G712" s="25"/>
      <c r="H712" s="33">
        <f>F712+G712</f>
        <v>420000</v>
      </c>
      <c r="I712" s="3"/>
      <c r="J712" s="17"/>
      <c r="K712" s="17"/>
      <c r="L712" s="3"/>
      <c r="M712" s="3"/>
      <c r="N712" s="3"/>
      <c r="O712" s="3"/>
      <c r="P712" s="3"/>
      <c r="Q712" s="3"/>
      <c r="R712" s="3"/>
    </row>
    <row r="713" spans="1:23" s="18" customFormat="1" ht="38.25" customHeight="1" x14ac:dyDescent="0.2">
      <c r="A713" s="26"/>
      <c r="B713" s="26"/>
      <c r="C713" s="26"/>
      <c r="D713" s="31"/>
      <c r="E713" s="73" t="s">
        <v>661</v>
      </c>
      <c r="F713" s="25">
        <v>100000</v>
      </c>
      <c r="G713" s="25"/>
      <c r="H713" s="33">
        <f t="shared" si="9"/>
        <v>100000</v>
      </c>
      <c r="I713" s="3"/>
      <c r="J713" s="17"/>
      <c r="K713" s="17"/>
      <c r="L713" s="3"/>
      <c r="M713" s="3"/>
      <c r="N713" s="3"/>
      <c r="O713" s="3"/>
      <c r="P713" s="3"/>
      <c r="Q713" s="3"/>
      <c r="R713" s="3"/>
    </row>
    <row r="714" spans="1:23" s="18" customFormat="1" ht="38.25" customHeight="1" x14ac:dyDescent="0.2">
      <c r="A714" s="26"/>
      <c r="B714" s="26"/>
      <c r="C714" s="26"/>
      <c r="D714" s="31"/>
      <c r="E714" s="73" t="s">
        <v>735</v>
      </c>
      <c r="F714" s="25">
        <v>300000</v>
      </c>
      <c r="G714" s="25">
        <f>-100000</f>
        <v>-100000</v>
      </c>
      <c r="H714" s="33">
        <f t="shared" si="9"/>
        <v>200000</v>
      </c>
      <c r="I714" s="3"/>
      <c r="J714" s="17"/>
      <c r="K714" s="17"/>
      <c r="L714" s="3"/>
      <c r="M714" s="3"/>
      <c r="N714" s="3"/>
      <c r="O714" s="3"/>
      <c r="P714" s="3"/>
      <c r="Q714" s="3"/>
      <c r="R714" s="3"/>
    </row>
    <row r="715" spans="1:23" s="18" customFormat="1" ht="69" customHeight="1" x14ac:dyDescent="0.2">
      <c r="A715" s="26" t="s">
        <v>138</v>
      </c>
      <c r="B715" s="26" t="s">
        <v>139</v>
      </c>
      <c r="C715" s="26" t="s">
        <v>257</v>
      </c>
      <c r="D715" s="50" t="s">
        <v>140</v>
      </c>
      <c r="E715" s="73"/>
      <c r="F715" s="29">
        <f>F716</f>
        <v>500000</v>
      </c>
      <c r="G715" s="29">
        <f>G716</f>
        <v>0</v>
      </c>
      <c r="H715" s="30">
        <f t="shared" si="9"/>
        <v>500000</v>
      </c>
      <c r="I715" s="3"/>
      <c r="J715" s="17"/>
      <c r="K715" s="17"/>
      <c r="L715" s="3"/>
      <c r="M715" s="3"/>
      <c r="N715" s="3"/>
      <c r="O715" s="3"/>
      <c r="P715" s="3"/>
      <c r="Q715" s="3"/>
      <c r="R715" s="3"/>
    </row>
    <row r="716" spans="1:23" s="18" customFormat="1" ht="93.75" x14ac:dyDescent="0.2">
      <c r="A716" s="26"/>
      <c r="B716" s="26"/>
      <c r="C716" s="26"/>
      <c r="D716" s="31"/>
      <c r="E716" s="38" t="s">
        <v>141</v>
      </c>
      <c r="F716" s="25">
        <v>500000</v>
      </c>
      <c r="G716" s="25"/>
      <c r="H716" s="33">
        <f t="shared" si="9"/>
        <v>500000</v>
      </c>
      <c r="I716" s="3"/>
      <c r="J716" s="17"/>
      <c r="K716" s="17"/>
      <c r="L716" s="3"/>
      <c r="M716" s="3"/>
      <c r="N716" s="3"/>
      <c r="O716" s="3"/>
      <c r="P716" s="3"/>
      <c r="Q716" s="3"/>
      <c r="R716" s="3"/>
    </row>
    <row r="717" spans="1:23" s="147" customFormat="1" ht="117" customHeight="1" x14ac:dyDescent="0.2">
      <c r="A717" s="141"/>
      <c r="B717" s="142"/>
      <c r="C717" s="142"/>
      <c r="D717" s="142"/>
      <c r="E717" s="143" t="s">
        <v>653</v>
      </c>
      <c r="F717" s="144">
        <f>F686+F626+F608+F304+F300+F280+F262+F250+F206+F181+F459+F675+F680+F276+F595</f>
        <v>1028545607</v>
      </c>
      <c r="G717" s="144">
        <f>G686+G626+G608+G304+G300+G280+G262+G250+G206+G181+G459+G675+G680+G276+G595</f>
        <v>-86825425</v>
      </c>
      <c r="H717" s="144">
        <f>H686+H626+H608+H304+H300+H280+H262+H250+H206+H181+H459+H675+H680+H276+H595</f>
        <v>941720182</v>
      </c>
      <c r="I717" s="145"/>
      <c r="J717" s="188"/>
      <c r="K717" s="146"/>
      <c r="L717" s="145"/>
      <c r="M717" s="145"/>
      <c r="N717" s="145"/>
      <c r="O717" s="145"/>
      <c r="P717" s="145"/>
      <c r="Q717" s="145"/>
    </row>
    <row r="718" spans="1:23" s="150" customFormat="1" ht="24.75" customHeight="1" x14ac:dyDescent="0.2">
      <c r="A718" s="231" t="s">
        <v>717</v>
      </c>
      <c r="B718" s="232"/>
      <c r="C718" s="232"/>
      <c r="D718" s="232"/>
      <c r="E718" s="233"/>
      <c r="F718" s="80"/>
      <c r="G718" s="80"/>
      <c r="H718" s="80"/>
      <c r="I718" s="148"/>
      <c r="J718" s="149"/>
      <c r="K718" s="149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</row>
    <row r="719" spans="1:23" s="150" customFormat="1" ht="46.5" customHeight="1" x14ac:dyDescent="0.2">
      <c r="A719" s="47" t="s">
        <v>310</v>
      </c>
      <c r="B719" s="47"/>
      <c r="C719" s="47"/>
      <c r="D719" s="12" t="s">
        <v>289</v>
      </c>
      <c r="E719" s="143"/>
      <c r="F719" s="80">
        <f>F734+F721+F726+F730+F728</f>
        <v>1530800</v>
      </c>
      <c r="G719" s="80">
        <f>G734+G721+G726+G730+G728</f>
        <v>2670173</v>
      </c>
      <c r="H719" s="80">
        <f>F719+G719</f>
        <v>4200973</v>
      </c>
      <c r="I719" s="148"/>
      <c r="J719" s="149"/>
      <c r="K719" s="149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</row>
    <row r="720" spans="1:23" s="150" customFormat="1" ht="46.5" customHeight="1" x14ac:dyDescent="0.2">
      <c r="A720" s="47" t="s">
        <v>311</v>
      </c>
      <c r="B720" s="47"/>
      <c r="C720" s="47"/>
      <c r="D720" s="79" t="s">
        <v>289</v>
      </c>
      <c r="E720" s="143"/>
      <c r="F720" s="80"/>
      <c r="G720" s="80"/>
      <c r="H720" s="80"/>
      <c r="I720" s="148"/>
      <c r="J720" s="149"/>
      <c r="K720" s="149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</row>
    <row r="721" spans="1:23" s="150" customFormat="1" ht="76.5" hidden="1" customHeight="1" x14ac:dyDescent="0.2">
      <c r="A721" s="26" t="s">
        <v>313</v>
      </c>
      <c r="B721" s="26" t="s">
        <v>271</v>
      </c>
      <c r="C721" s="26" t="s">
        <v>272</v>
      </c>
      <c r="D721" s="39" t="s">
        <v>314</v>
      </c>
      <c r="E721" s="151"/>
      <c r="F721" s="46">
        <f>SUM(F722:F725)</f>
        <v>0</v>
      </c>
      <c r="G721" s="46">
        <f>SUM(G722:G725)</f>
        <v>0</v>
      </c>
      <c r="H721" s="46">
        <f t="shared" ref="H721:H731" si="10">F721+G721</f>
        <v>0</v>
      </c>
      <c r="I721" s="148"/>
      <c r="J721" s="149"/>
      <c r="K721" s="149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</row>
    <row r="722" spans="1:23" s="150" customFormat="1" ht="80.25" hidden="1" customHeight="1" x14ac:dyDescent="0.2">
      <c r="A722" s="49"/>
      <c r="B722" s="49"/>
      <c r="C722" s="49"/>
      <c r="D722" s="152"/>
      <c r="E722" s="75"/>
      <c r="F722" s="46"/>
      <c r="G722" s="46"/>
      <c r="H722" s="46">
        <f t="shared" si="10"/>
        <v>0</v>
      </c>
      <c r="I722" s="148"/>
      <c r="J722" s="149"/>
      <c r="K722" s="149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</row>
    <row r="723" spans="1:23" s="150" customFormat="1" ht="33" hidden="1" customHeight="1" x14ac:dyDescent="0.2">
      <c r="A723" s="49"/>
      <c r="B723" s="49"/>
      <c r="C723" s="49"/>
      <c r="D723" s="152"/>
      <c r="E723" s="75"/>
      <c r="F723" s="46"/>
      <c r="G723" s="46"/>
      <c r="H723" s="46">
        <f t="shared" si="10"/>
        <v>0</v>
      </c>
      <c r="I723" s="148"/>
      <c r="J723" s="149"/>
      <c r="K723" s="149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</row>
    <row r="724" spans="1:23" s="150" customFormat="1" ht="58.5" hidden="1" customHeight="1" x14ac:dyDescent="0.2">
      <c r="A724" s="49"/>
      <c r="B724" s="49"/>
      <c r="C724" s="49"/>
      <c r="D724" s="152"/>
      <c r="E724" s="75"/>
      <c r="F724" s="46"/>
      <c r="G724" s="46"/>
      <c r="H724" s="46">
        <f t="shared" si="10"/>
        <v>0</v>
      </c>
      <c r="I724" s="148"/>
      <c r="J724" s="149"/>
      <c r="K724" s="149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</row>
    <row r="725" spans="1:23" s="150" customFormat="1" ht="40.5" hidden="1" customHeight="1" x14ac:dyDescent="0.2">
      <c r="A725" s="49"/>
      <c r="B725" s="49"/>
      <c r="C725" s="49"/>
      <c r="D725" s="152"/>
      <c r="E725" s="153"/>
      <c r="F725" s="46"/>
      <c r="G725" s="46"/>
      <c r="H725" s="46">
        <f t="shared" si="10"/>
        <v>0</v>
      </c>
      <c r="I725" s="148"/>
      <c r="J725" s="149"/>
      <c r="K725" s="149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</row>
    <row r="726" spans="1:23" s="150" customFormat="1" ht="35.25" hidden="1" customHeight="1" x14ac:dyDescent="0.2">
      <c r="A726" s="49" t="s">
        <v>718</v>
      </c>
      <c r="B726" s="49" t="s">
        <v>719</v>
      </c>
      <c r="C726" s="49" t="s">
        <v>720</v>
      </c>
      <c r="D726" s="49" t="s">
        <v>721</v>
      </c>
      <c r="E726" s="151"/>
      <c r="F726" s="46">
        <f>SUM(F727)</f>
        <v>0</v>
      </c>
      <c r="G726" s="46">
        <f>SUM(G727)</f>
        <v>0</v>
      </c>
      <c r="H726" s="46">
        <f t="shared" si="10"/>
        <v>0</v>
      </c>
      <c r="I726" s="148"/>
      <c r="J726" s="149"/>
      <c r="K726" s="149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</row>
    <row r="727" spans="1:23" s="150" customFormat="1" ht="35.25" hidden="1" customHeight="1" x14ac:dyDescent="0.2">
      <c r="A727" s="49"/>
      <c r="B727" s="49"/>
      <c r="C727" s="49"/>
      <c r="D727" s="152"/>
      <c r="E727" s="154"/>
      <c r="F727" s="46"/>
      <c r="G727" s="46"/>
      <c r="H727" s="46">
        <f t="shared" si="10"/>
        <v>0</v>
      </c>
      <c r="I727" s="148"/>
      <c r="J727" s="149"/>
      <c r="K727" s="149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</row>
    <row r="728" spans="1:23" s="197" customFormat="1" ht="81.75" customHeight="1" x14ac:dyDescent="0.2">
      <c r="A728" s="190" t="s">
        <v>473</v>
      </c>
      <c r="B728" s="191">
        <v>1010</v>
      </c>
      <c r="C728" s="191" t="s">
        <v>270</v>
      </c>
      <c r="D728" s="192" t="s">
        <v>312</v>
      </c>
      <c r="E728" s="193"/>
      <c r="F728" s="194">
        <f>SUM(F729)</f>
        <v>178200</v>
      </c>
      <c r="G728" s="194">
        <f>SUM(G729)</f>
        <v>0</v>
      </c>
      <c r="H728" s="194">
        <f t="shared" si="10"/>
        <v>178200</v>
      </c>
      <c r="I728" s="195"/>
      <c r="J728" s="196"/>
      <c r="K728" s="196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</row>
    <row r="729" spans="1:23" s="150" customFormat="1" ht="46.5" customHeight="1" x14ac:dyDescent="0.2">
      <c r="A729" s="49"/>
      <c r="B729" s="49"/>
      <c r="C729" s="49"/>
      <c r="D729" s="152"/>
      <c r="E729" s="177" t="s">
        <v>132</v>
      </c>
      <c r="F729" s="46">
        <v>178200</v>
      </c>
      <c r="G729" s="46"/>
      <c r="H729" s="46">
        <f t="shared" si="10"/>
        <v>178200</v>
      </c>
      <c r="I729" s="148"/>
      <c r="J729" s="149"/>
      <c r="K729" s="149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</row>
    <row r="730" spans="1:23" s="150" customFormat="1" ht="81.75" customHeight="1" x14ac:dyDescent="0.2">
      <c r="A730" s="26" t="s">
        <v>313</v>
      </c>
      <c r="B730" s="26" t="s">
        <v>271</v>
      </c>
      <c r="C730" s="26" t="s">
        <v>272</v>
      </c>
      <c r="D730" s="39" t="s">
        <v>314</v>
      </c>
      <c r="E730" s="151"/>
      <c r="F730" s="51">
        <f>SUM(F731:F733)</f>
        <v>1272600</v>
      </c>
      <c r="G730" s="51">
        <f>SUM(G731:G733)</f>
        <v>-901800</v>
      </c>
      <c r="H730" s="51">
        <f t="shared" si="10"/>
        <v>370800</v>
      </c>
      <c r="I730" s="148"/>
      <c r="J730" s="149"/>
      <c r="K730" s="149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</row>
    <row r="731" spans="1:23" s="150" customFormat="1" ht="31.5" customHeight="1" x14ac:dyDescent="0.2">
      <c r="A731" s="49"/>
      <c r="B731" s="49"/>
      <c r="C731" s="49"/>
      <c r="D731" s="152"/>
      <c r="E731" s="177" t="s">
        <v>87</v>
      </c>
      <c r="F731" s="46">
        <f>930300</f>
        <v>930300</v>
      </c>
      <c r="G731" s="46">
        <f>-930300</f>
        <v>-930300</v>
      </c>
      <c r="H731" s="46">
        <f t="shared" si="10"/>
        <v>0</v>
      </c>
      <c r="I731" s="148"/>
      <c r="J731" s="149"/>
      <c r="K731" s="149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</row>
    <row r="732" spans="1:23" s="150" customFormat="1" ht="39" customHeight="1" x14ac:dyDescent="0.2">
      <c r="A732" s="49"/>
      <c r="B732" s="49"/>
      <c r="C732" s="49"/>
      <c r="D732" s="152"/>
      <c r="E732" s="177" t="s">
        <v>183</v>
      </c>
      <c r="F732" s="46"/>
      <c r="G732" s="46">
        <f>28500</f>
        <v>28500</v>
      </c>
      <c r="H732" s="46"/>
      <c r="I732" s="148"/>
      <c r="J732" s="149"/>
      <c r="K732" s="149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</row>
    <row r="733" spans="1:23" s="150" customFormat="1" ht="44.25" customHeight="1" x14ac:dyDescent="0.2">
      <c r="A733" s="49"/>
      <c r="B733" s="49"/>
      <c r="C733" s="49"/>
      <c r="D733" s="152"/>
      <c r="E733" s="177" t="s">
        <v>133</v>
      </c>
      <c r="F733" s="46">
        <v>342300</v>
      </c>
      <c r="G733" s="46"/>
      <c r="H733" s="46">
        <f t="shared" ref="H733:H749" si="11">F733+G733</f>
        <v>342300</v>
      </c>
      <c r="I733" s="148"/>
      <c r="J733" s="149"/>
      <c r="K733" s="149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</row>
    <row r="734" spans="1:23" s="150" customFormat="1" ht="57.75" customHeight="1" x14ac:dyDescent="0.2">
      <c r="A734" s="49" t="s">
        <v>722</v>
      </c>
      <c r="B734" s="49" t="s">
        <v>723</v>
      </c>
      <c r="C734" s="49" t="s">
        <v>266</v>
      </c>
      <c r="D734" s="49" t="s">
        <v>724</v>
      </c>
      <c r="E734" s="151"/>
      <c r="F734" s="51">
        <f>SUM(F735:F742)</f>
        <v>80000</v>
      </c>
      <c r="G734" s="51">
        <f>SUM(G735:G742)</f>
        <v>3571973</v>
      </c>
      <c r="H734" s="51">
        <f t="shared" si="11"/>
        <v>3651973</v>
      </c>
      <c r="I734" s="148"/>
      <c r="J734" s="149"/>
      <c r="K734" s="149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</row>
    <row r="735" spans="1:23" s="150" customFormat="1" ht="46.5" customHeight="1" x14ac:dyDescent="0.2">
      <c r="A735" s="49"/>
      <c r="B735" s="49"/>
      <c r="C735" s="49"/>
      <c r="D735" s="152"/>
      <c r="E735" s="155" t="s">
        <v>730</v>
      </c>
      <c r="F735" s="46">
        <f>58000+22000</f>
        <v>80000</v>
      </c>
      <c r="G735" s="46">
        <f>20000</f>
        <v>20000</v>
      </c>
      <c r="H735" s="46">
        <f t="shared" si="11"/>
        <v>100000</v>
      </c>
      <c r="I735" s="148"/>
      <c r="J735" s="149"/>
      <c r="K735" s="149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</row>
    <row r="736" spans="1:23" s="150" customFormat="1" ht="46.5" customHeight="1" x14ac:dyDescent="0.2">
      <c r="A736" s="49"/>
      <c r="B736" s="49"/>
      <c r="C736" s="49"/>
      <c r="D736" s="152"/>
      <c r="E736" s="226" t="s">
        <v>232</v>
      </c>
      <c r="F736" s="46"/>
      <c r="G736" s="46">
        <f>559253</f>
        <v>559253</v>
      </c>
      <c r="H736" s="46">
        <f t="shared" si="11"/>
        <v>559253</v>
      </c>
      <c r="I736" s="148"/>
      <c r="J736" s="149"/>
      <c r="K736" s="149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</row>
    <row r="737" spans="1:23" s="150" customFormat="1" ht="46.5" customHeight="1" x14ac:dyDescent="0.2">
      <c r="A737" s="49"/>
      <c r="B737" s="49"/>
      <c r="C737" s="49"/>
      <c r="D737" s="152"/>
      <c r="E737" s="226" t="s">
        <v>233</v>
      </c>
      <c r="F737" s="46"/>
      <c r="G737" s="46">
        <f>292720</f>
        <v>292720</v>
      </c>
      <c r="H737" s="46">
        <f t="shared" si="11"/>
        <v>292720</v>
      </c>
      <c r="I737" s="148"/>
      <c r="J737" s="149"/>
      <c r="K737" s="149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</row>
    <row r="738" spans="1:23" s="150" customFormat="1" ht="46.5" customHeight="1" x14ac:dyDescent="0.2">
      <c r="A738" s="49"/>
      <c r="B738" s="49"/>
      <c r="C738" s="49"/>
      <c r="D738" s="152"/>
      <c r="E738" s="155" t="s">
        <v>184</v>
      </c>
      <c r="F738" s="46"/>
      <c r="G738" s="46">
        <f>300000</f>
        <v>300000</v>
      </c>
      <c r="H738" s="46">
        <f t="shared" si="11"/>
        <v>300000</v>
      </c>
      <c r="I738" s="148"/>
      <c r="J738" s="149"/>
      <c r="K738" s="149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</row>
    <row r="739" spans="1:23" s="150" customFormat="1" ht="46.5" customHeight="1" x14ac:dyDescent="0.2">
      <c r="A739" s="49"/>
      <c r="B739" s="49"/>
      <c r="C739" s="49"/>
      <c r="D739" s="152"/>
      <c r="E739" s="155" t="s">
        <v>238</v>
      </c>
      <c r="F739" s="46"/>
      <c r="G739" s="46">
        <f>400000</f>
        <v>400000</v>
      </c>
      <c r="H739" s="46">
        <f t="shared" si="11"/>
        <v>400000</v>
      </c>
      <c r="I739" s="148"/>
      <c r="J739" s="149"/>
      <c r="K739" s="149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</row>
    <row r="740" spans="1:23" s="150" customFormat="1" ht="46.5" customHeight="1" x14ac:dyDescent="0.2">
      <c r="A740" s="49"/>
      <c r="B740" s="49"/>
      <c r="C740" s="49"/>
      <c r="D740" s="152"/>
      <c r="E740" s="155" t="s">
        <v>239</v>
      </c>
      <c r="F740" s="46"/>
      <c r="G740" s="46">
        <v>400000</v>
      </c>
      <c r="H740" s="46">
        <f t="shared" si="11"/>
        <v>400000</v>
      </c>
      <c r="I740" s="148"/>
      <c r="J740" s="149"/>
      <c r="K740" s="149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</row>
    <row r="741" spans="1:23" s="150" customFormat="1" ht="46.5" customHeight="1" x14ac:dyDescent="0.2">
      <c r="A741" s="49"/>
      <c r="B741" s="49"/>
      <c r="C741" s="49"/>
      <c r="D741" s="152"/>
      <c r="E741" s="155" t="s">
        <v>240</v>
      </c>
      <c r="F741" s="46"/>
      <c r="G741" s="46">
        <v>400000</v>
      </c>
      <c r="H741" s="46">
        <f t="shared" si="11"/>
        <v>400000</v>
      </c>
      <c r="I741" s="148"/>
      <c r="J741" s="149"/>
      <c r="K741" s="149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</row>
    <row r="742" spans="1:23" s="150" customFormat="1" ht="46.5" customHeight="1" x14ac:dyDescent="0.2">
      <c r="A742" s="49"/>
      <c r="B742" s="49"/>
      <c r="C742" s="49"/>
      <c r="D742" s="152"/>
      <c r="E742" s="155" t="s">
        <v>186</v>
      </c>
      <c r="F742" s="46"/>
      <c r="G742" s="46">
        <f>1200000</f>
        <v>1200000</v>
      </c>
      <c r="H742" s="46">
        <f t="shared" si="11"/>
        <v>1200000</v>
      </c>
      <c r="I742" s="148"/>
      <c r="J742" s="149"/>
      <c r="K742" s="149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</row>
    <row r="743" spans="1:23" s="150" customFormat="1" ht="46.5" customHeight="1" x14ac:dyDescent="0.2">
      <c r="A743" s="47" t="s">
        <v>315</v>
      </c>
      <c r="B743" s="47"/>
      <c r="C743" s="47"/>
      <c r="D743" s="47" t="s">
        <v>256</v>
      </c>
      <c r="E743" s="155"/>
      <c r="F743" s="80">
        <f>F745</f>
        <v>0</v>
      </c>
      <c r="G743" s="80">
        <f>G745</f>
        <v>26000000</v>
      </c>
      <c r="H743" s="80">
        <f t="shared" si="11"/>
        <v>26000000</v>
      </c>
      <c r="I743" s="148"/>
      <c r="J743" s="149"/>
      <c r="K743" s="149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</row>
    <row r="744" spans="1:23" s="150" customFormat="1" ht="46.5" customHeight="1" x14ac:dyDescent="0.2">
      <c r="A744" s="47" t="s">
        <v>316</v>
      </c>
      <c r="B744" s="47"/>
      <c r="C744" s="47"/>
      <c r="D744" s="48" t="s">
        <v>256</v>
      </c>
      <c r="E744" s="155"/>
      <c r="F744" s="46"/>
      <c r="G744" s="46"/>
      <c r="H744" s="80">
        <f t="shared" si="11"/>
        <v>0</v>
      </c>
      <c r="I744" s="148"/>
      <c r="J744" s="149"/>
      <c r="K744" s="149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</row>
    <row r="745" spans="1:23" s="150" customFormat="1" ht="54" customHeight="1" x14ac:dyDescent="0.2">
      <c r="A745" s="49" t="s">
        <v>187</v>
      </c>
      <c r="B745" s="49" t="s">
        <v>723</v>
      </c>
      <c r="C745" s="49" t="s">
        <v>266</v>
      </c>
      <c r="D745" s="49" t="s">
        <v>724</v>
      </c>
      <c r="E745" s="155"/>
      <c r="F745" s="51">
        <f>SUM(F746:F748)</f>
        <v>0</v>
      </c>
      <c r="G745" s="51">
        <f>SUM(G746:G748)</f>
        <v>26000000</v>
      </c>
      <c r="H745" s="51">
        <f t="shared" si="11"/>
        <v>26000000</v>
      </c>
      <c r="I745" s="148"/>
      <c r="J745" s="149"/>
      <c r="K745" s="149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</row>
    <row r="746" spans="1:23" s="150" customFormat="1" ht="46.5" customHeight="1" x14ac:dyDescent="0.2">
      <c r="A746" s="49"/>
      <c r="B746" s="49"/>
      <c r="C746" s="49"/>
      <c r="D746" s="152"/>
      <c r="E746" s="155" t="s">
        <v>188</v>
      </c>
      <c r="F746" s="46"/>
      <c r="G746" s="46">
        <f>6000000</f>
        <v>6000000</v>
      </c>
      <c r="H746" s="46">
        <f t="shared" si="11"/>
        <v>6000000</v>
      </c>
      <c r="I746" s="148"/>
      <c r="J746" s="149"/>
      <c r="K746" s="149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</row>
    <row r="747" spans="1:23" s="150" customFormat="1" ht="55.5" customHeight="1" x14ac:dyDescent="0.2">
      <c r="A747" s="49"/>
      <c r="B747" s="49"/>
      <c r="C747" s="49"/>
      <c r="D747" s="152"/>
      <c r="E747" s="155" t="s">
        <v>241</v>
      </c>
      <c r="F747" s="46"/>
      <c r="G747" s="46">
        <f>17000000</f>
        <v>17000000</v>
      </c>
      <c r="H747" s="46">
        <f t="shared" si="11"/>
        <v>17000000</v>
      </c>
      <c r="I747" s="148"/>
      <c r="J747" s="149"/>
      <c r="K747" s="149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</row>
    <row r="748" spans="1:23" s="150" customFormat="1" ht="55.5" customHeight="1" x14ac:dyDescent="0.2">
      <c r="A748" s="49"/>
      <c r="B748" s="49"/>
      <c r="C748" s="49"/>
      <c r="D748" s="152"/>
      <c r="E748" s="155" t="s">
        <v>242</v>
      </c>
      <c r="F748" s="46"/>
      <c r="G748" s="46">
        <f>3000000</f>
        <v>3000000</v>
      </c>
      <c r="H748" s="46">
        <f t="shared" si="11"/>
        <v>3000000</v>
      </c>
      <c r="I748" s="148"/>
      <c r="J748" s="149"/>
      <c r="K748" s="149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</row>
    <row r="749" spans="1:23" s="150" customFormat="1" ht="46.5" customHeight="1" x14ac:dyDescent="0.2">
      <c r="A749" s="20" t="s">
        <v>322</v>
      </c>
      <c r="B749" s="20"/>
      <c r="C749" s="20"/>
      <c r="D749" s="20" t="s">
        <v>277</v>
      </c>
      <c r="E749" s="143"/>
      <c r="F749" s="80">
        <f>F758+F760+F762</f>
        <v>0</v>
      </c>
      <c r="G749" s="80">
        <f>G758+G760+G762</f>
        <v>5583434</v>
      </c>
      <c r="H749" s="80">
        <f t="shared" si="11"/>
        <v>5583434</v>
      </c>
      <c r="I749" s="148"/>
      <c r="J749" s="149"/>
      <c r="K749" s="149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</row>
    <row r="750" spans="1:23" s="150" customFormat="1" ht="46.5" customHeight="1" x14ac:dyDescent="0.2">
      <c r="A750" s="20" t="s">
        <v>323</v>
      </c>
      <c r="B750" s="20"/>
      <c r="C750" s="20"/>
      <c r="D750" s="23" t="s">
        <v>277</v>
      </c>
      <c r="E750" s="143"/>
      <c r="F750" s="80"/>
      <c r="G750" s="80"/>
      <c r="H750" s="80"/>
      <c r="I750" s="148"/>
      <c r="J750" s="149"/>
      <c r="K750" s="149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</row>
    <row r="751" spans="1:23" s="150" customFormat="1" ht="76.5" hidden="1" customHeight="1" x14ac:dyDescent="0.2">
      <c r="A751" s="26" t="s">
        <v>313</v>
      </c>
      <c r="B751" s="26" t="s">
        <v>271</v>
      </c>
      <c r="C751" s="26" t="s">
        <v>272</v>
      </c>
      <c r="D751" s="39" t="s">
        <v>314</v>
      </c>
      <c r="E751" s="151"/>
      <c r="F751" s="46">
        <f>SUM(F752:F755)</f>
        <v>0</v>
      </c>
      <c r="G751" s="46">
        <f>SUM(G752:G755)</f>
        <v>0</v>
      </c>
      <c r="H751" s="46">
        <f t="shared" ref="H751:H757" si="12">F751+G751</f>
        <v>0</v>
      </c>
      <c r="I751" s="148"/>
      <c r="J751" s="149"/>
      <c r="K751" s="149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</row>
    <row r="752" spans="1:23" s="150" customFormat="1" ht="80.25" hidden="1" customHeight="1" x14ac:dyDescent="0.2">
      <c r="A752" s="49"/>
      <c r="B752" s="49"/>
      <c r="C752" s="49"/>
      <c r="D752" s="152"/>
      <c r="E752" s="75"/>
      <c r="F752" s="46"/>
      <c r="G752" s="46"/>
      <c r="H752" s="46">
        <f t="shared" si="12"/>
        <v>0</v>
      </c>
      <c r="I752" s="148"/>
      <c r="J752" s="149"/>
      <c r="K752" s="149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</row>
    <row r="753" spans="1:23" s="150" customFormat="1" ht="33" hidden="1" customHeight="1" x14ac:dyDescent="0.2">
      <c r="A753" s="49"/>
      <c r="B753" s="49"/>
      <c r="C753" s="49"/>
      <c r="D753" s="152"/>
      <c r="E753" s="75"/>
      <c r="F753" s="46"/>
      <c r="G753" s="46"/>
      <c r="H753" s="46">
        <f t="shared" si="12"/>
        <v>0</v>
      </c>
      <c r="I753" s="148"/>
      <c r="J753" s="149"/>
      <c r="K753" s="149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</row>
    <row r="754" spans="1:23" s="150" customFormat="1" ht="58.5" hidden="1" customHeight="1" x14ac:dyDescent="0.2">
      <c r="A754" s="49"/>
      <c r="B754" s="49"/>
      <c r="C754" s="49"/>
      <c r="D754" s="152"/>
      <c r="E754" s="75"/>
      <c r="F754" s="46"/>
      <c r="G754" s="46"/>
      <c r="H754" s="46">
        <f t="shared" si="12"/>
        <v>0</v>
      </c>
      <c r="I754" s="148"/>
      <c r="J754" s="149"/>
      <c r="K754" s="149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</row>
    <row r="755" spans="1:23" s="150" customFormat="1" ht="40.5" hidden="1" customHeight="1" x14ac:dyDescent="0.2">
      <c r="A755" s="49"/>
      <c r="B755" s="49"/>
      <c r="C755" s="49"/>
      <c r="D755" s="152"/>
      <c r="E755" s="153"/>
      <c r="F755" s="46"/>
      <c r="G755" s="46"/>
      <c r="H755" s="46">
        <f t="shared" si="12"/>
        <v>0</v>
      </c>
      <c r="I755" s="148"/>
      <c r="J755" s="149"/>
      <c r="K755" s="149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</row>
    <row r="756" spans="1:23" s="150" customFormat="1" ht="35.25" hidden="1" customHeight="1" x14ac:dyDescent="0.2">
      <c r="A756" s="49" t="s">
        <v>718</v>
      </c>
      <c r="B756" s="49" t="s">
        <v>719</v>
      </c>
      <c r="C756" s="49" t="s">
        <v>720</v>
      </c>
      <c r="D756" s="49" t="s">
        <v>721</v>
      </c>
      <c r="E756" s="151"/>
      <c r="F756" s="46">
        <f>SUM(F757)</f>
        <v>0</v>
      </c>
      <c r="G756" s="46">
        <f>SUM(G757)</f>
        <v>0</v>
      </c>
      <c r="H756" s="46">
        <f t="shared" si="12"/>
        <v>0</v>
      </c>
      <c r="I756" s="148"/>
      <c r="J756" s="149"/>
      <c r="K756" s="149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</row>
    <row r="757" spans="1:23" s="150" customFormat="1" ht="35.25" hidden="1" customHeight="1" x14ac:dyDescent="0.2">
      <c r="A757" s="49"/>
      <c r="B757" s="49"/>
      <c r="C757" s="49"/>
      <c r="D757" s="152"/>
      <c r="E757" s="154"/>
      <c r="F757" s="46"/>
      <c r="G757" s="46"/>
      <c r="H757" s="46">
        <f t="shared" si="12"/>
        <v>0</v>
      </c>
      <c r="I757" s="148"/>
      <c r="J757" s="149"/>
      <c r="K757" s="149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</row>
    <row r="758" spans="1:23" s="197" customFormat="1" ht="295.5" customHeight="1" x14ac:dyDescent="0.2">
      <c r="A758" s="190" t="s">
        <v>175</v>
      </c>
      <c r="B758" s="191" t="s">
        <v>176</v>
      </c>
      <c r="C758" s="191" t="s">
        <v>177</v>
      </c>
      <c r="D758" s="192" t="s">
        <v>180</v>
      </c>
      <c r="E758" s="193"/>
      <c r="F758" s="194">
        <f>SUM(F759)</f>
        <v>0</v>
      </c>
      <c r="G758" s="194">
        <f>SUM(G759)</f>
        <v>961207</v>
      </c>
      <c r="H758" s="194">
        <f t="shared" ref="H758:H763" si="13">F758+G758</f>
        <v>961207</v>
      </c>
      <c r="I758" s="195"/>
      <c r="J758" s="196"/>
      <c r="K758" s="196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5"/>
      <c r="W758" s="195"/>
    </row>
    <row r="759" spans="1:23" s="150" customFormat="1" ht="258.75" customHeight="1" x14ac:dyDescent="0.2">
      <c r="A759" s="49"/>
      <c r="B759" s="49"/>
      <c r="C759" s="49"/>
      <c r="D759" s="152"/>
      <c r="E759" s="177" t="s">
        <v>180</v>
      </c>
      <c r="F759" s="46"/>
      <c r="G759" s="46">
        <f>961207</f>
        <v>961207</v>
      </c>
      <c r="H759" s="46">
        <f t="shared" si="13"/>
        <v>961207</v>
      </c>
      <c r="I759" s="148"/>
      <c r="J759" s="149"/>
      <c r="K759" s="149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</row>
    <row r="760" spans="1:23" s="150" customFormat="1" ht="244.5" customHeight="1" x14ac:dyDescent="0.2">
      <c r="A760" s="26" t="s">
        <v>178</v>
      </c>
      <c r="B760" s="26" t="s">
        <v>179</v>
      </c>
      <c r="C760" s="26" t="s">
        <v>177</v>
      </c>
      <c r="D760" s="39" t="s">
        <v>181</v>
      </c>
      <c r="E760" s="151"/>
      <c r="F760" s="46">
        <f>SUM(F761)</f>
        <v>0</v>
      </c>
      <c r="G760" s="46">
        <f>SUM(G761)</f>
        <v>2144940</v>
      </c>
      <c r="H760" s="46">
        <f t="shared" si="13"/>
        <v>2144940</v>
      </c>
      <c r="I760" s="148"/>
      <c r="J760" s="149"/>
      <c r="K760" s="149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</row>
    <row r="761" spans="1:23" s="150" customFormat="1" ht="210" customHeight="1" x14ac:dyDescent="0.2">
      <c r="A761" s="49"/>
      <c r="B761" s="49"/>
      <c r="C761" s="49"/>
      <c r="D761" s="152"/>
      <c r="E761" s="177" t="s">
        <v>181</v>
      </c>
      <c r="F761" s="46"/>
      <c r="G761" s="46">
        <f>2144940</f>
        <v>2144940</v>
      </c>
      <c r="H761" s="46">
        <f t="shared" si="13"/>
        <v>2144940</v>
      </c>
      <c r="I761" s="148"/>
      <c r="J761" s="149"/>
      <c r="K761" s="149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</row>
    <row r="762" spans="1:23" s="150" customFormat="1" ht="99" customHeight="1" x14ac:dyDescent="0.2">
      <c r="A762" s="219" t="s">
        <v>54</v>
      </c>
      <c r="B762" s="219" t="s">
        <v>55</v>
      </c>
      <c r="C762" s="219" t="s">
        <v>431</v>
      </c>
      <c r="D762" s="152" t="s">
        <v>56</v>
      </c>
      <c r="E762" s="177"/>
      <c r="F762" s="46">
        <f>SUM(F763)</f>
        <v>0</v>
      </c>
      <c r="G762" s="46">
        <f>SUM(G763)</f>
        <v>2477287</v>
      </c>
      <c r="H762" s="46">
        <f>F762+G762</f>
        <v>2477287</v>
      </c>
      <c r="I762" s="148"/>
      <c r="J762" s="149"/>
      <c r="K762" s="149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</row>
    <row r="763" spans="1:23" s="150" customFormat="1" ht="84.75" customHeight="1" x14ac:dyDescent="0.2">
      <c r="A763" s="49"/>
      <c r="B763" s="49"/>
      <c r="C763" s="49"/>
      <c r="D763" s="152"/>
      <c r="E763" s="177" t="s">
        <v>56</v>
      </c>
      <c r="F763" s="46"/>
      <c r="G763" s="46">
        <f>2477287</f>
        <v>2477287</v>
      </c>
      <c r="H763" s="46">
        <f t="shared" si="13"/>
        <v>2477287</v>
      </c>
      <c r="I763" s="148"/>
      <c r="J763" s="149"/>
      <c r="K763" s="149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</row>
    <row r="764" spans="1:23" s="102" customFormat="1" ht="43.5" customHeight="1" x14ac:dyDescent="0.2">
      <c r="A764" s="12">
        <v>1200000</v>
      </c>
      <c r="B764" s="47"/>
      <c r="C764" s="47"/>
      <c r="D764" s="47" t="s">
        <v>280</v>
      </c>
      <c r="E764" s="151"/>
      <c r="F764" s="80">
        <f>F766</f>
        <v>3044800</v>
      </c>
      <c r="G764" s="80">
        <f>G766</f>
        <v>3228989</v>
      </c>
      <c r="H764" s="80">
        <f>F764+G764</f>
        <v>6273789</v>
      </c>
      <c r="I764" s="100"/>
      <c r="J764" s="101"/>
      <c r="K764" s="101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</row>
    <row r="765" spans="1:23" s="102" customFormat="1" ht="43.5" customHeight="1" x14ac:dyDescent="0.2">
      <c r="A765" s="12">
        <v>1210000</v>
      </c>
      <c r="B765" s="47"/>
      <c r="C765" s="47"/>
      <c r="D765" s="48" t="s">
        <v>280</v>
      </c>
      <c r="E765" s="151"/>
      <c r="F765" s="80"/>
      <c r="G765" s="80"/>
      <c r="H765" s="80"/>
      <c r="I765" s="100"/>
      <c r="J765" s="101"/>
      <c r="K765" s="101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</row>
    <row r="766" spans="1:23" s="109" customFormat="1" ht="54" customHeight="1" x14ac:dyDescent="0.2">
      <c r="A766" s="49" t="s">
        <v>725</v>
      </c>
      <c r="B766" s="49" t="s">
        <v>723</v>
      </c>
      <c r="C766" s="49" t="s">
        <v>266</v>
      </c>
      <c r="D766" s="49" t="s">
        <v>724</v>
      </c>
      <c r="E766" s="151"/>
      <c r="F766" s="51">
        <f>SUM(F767:F803)</f>
        <v>3044800</v>
      </c>
      <c r="G766" s="51">
        <f>SUM(G767:G803)</f>
        <v>3228989</v>
      </c>
      <c r="H766" s="51">
        <f>F766+G766</f>
        <v>6273789</v>
      </c>
      <c r="I766" s="107"/>
      <c r="J766" s="108"/>
      <c r="K766" s="108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</row>
    <row r="767" spans="1:23" s="109" customFormat="1" ht="59.25" customHeight="1" x14ac:dyDescent="0.2">
      <c r="A767" s="49"/>
      <c r="B767" s="49"/>
      <c r="C767" s="49"/>
      <c r="D767" s="151"/>
      <c r="E767" s="155" t="s">
        <v>36</v>
      </c>
      <c r="F767" s="46">
        <f>20000</f>
        <v>20000</v>
      </c>
      <c r="G767" s="46"/>
      <c r="H767" s="46">
        <f t="shared" ref="H767:H803" si="14">F767+G767</f>
        <v>20000</v>
      </c>
      <c r="I767" s="107"/>
      <c r="J767" s="108"/>
      <c r="K767" s="108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</row>
    <row r="768" spans="1:23" s="109" customFormat="1" ht="59.25" customHeight="1" x14ac:dyDescent="0.2">
      <c r="A768" s="49"/>
      <c r="B768" s="49"/>
      <c r="C768" s="49"/>
      <c r="D768" s="151"/>
      <c r="E768" s="155" t="s">
        <v>37</v>
      </c>
      <c r="F768" s="46">
        <v>10000</v>
      </c>
      <c r="G768" s="46"/>
      <c r="H768" s="46">
        <f t="shared" si="14"/>
        <v>10000</v>
      </c>
      <c r="I768" s="107"/>
      <c r="J768" s="108"/>
      <c r="K768" s="108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</row>
    <row r="769" spans="1:23" s="109" customFormat="1" ht="49.5" customHeight="1" x14ac:dyDescent="0.2">
      <c r="A769" s="49"/>
      <c r="B769" s="49"/>
      <c r="C769" s="49"/>
      <c r="D769" s="151"/>
      <c r="E769" s="155" t="s">
        <v>38</v>
      </c>
      <c r="F769" s="46">
        <f>15000</f>
        <v>15000</v>
      </c>
      <c r="G769" s="46">
        <f>-15000</f>
        <v>-15000</v>
      </c>
      <c r="H769" s="46">
        <f t="shared" si="14"/>
        <v>0</v>
      </c>
      <c r="I769" s="107"/>
      <c r="J769" s="108"/>
      <c r="K769" s="108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</row>
    <row r="770" spans="1:23" s="109" customFormat="1" ht="49.5" customHeight="1" x14ac:dyDescent="0.2">
      <c r="A770" s="49"/>
      <c r="B770" s="49"/>
      <c r="C770" s="49"/>
      <c r="D770" s="151"/>
      <c r="E770" s="155" t="s">
        <v>39</v>
      </c>
      <c r="F770" s="46">
        <f>49900</f>
        <v>49900</v>
      </c>
      <c r="G770" s="46"/>
      <c r="H770" s="46">
        <f t="shared" si="14"/>
        <v>49900</v>
      </c>
      <c r="I770" s="107"/>
      <c r="J770" s="108"/>
      <c r="K770" s="108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</row>
    <row r="771" spans="1:23" s="109" customFormat="1" ht="49.5" customHeight="1" x14ac:dyDescent="0.2">
      <c r="A771" s="49"/>
      <c r="B771" s="49"/>
      <c r="C771" s="49"/>
      <c r="D771" s="151"/>
      <c r="E771" s="155" t="s">
        <v>40</v>
      </c>
      <c r="F771" s="46">
        <f>200000</f>
        <v>200000</v>
      </c>
      <c r="G771" s="46"/>
      <c r="H771" s="46">
        <f t="shared" si="14"/>
        <v>200000</v>
      </c>
      <c r="I771" s="107"/>
      <c r="J771" s="108"/>
      <c r="K771" s="108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</row>
    <row r="772" spans="1:23" s="109" customFormat="1" ht="49.5" customHeight="1" x14ac:dyDescent="0.2">
      <c r="A772" s="49"/>
      <c r="B772" s="49"/>
      <c r="C772" s="49"/>
      <c r="D772" s="151"/>
      <c r="E772" s="177" t="s">
        <v>254</v>
      </c>
      <c r="F772" s="46"/>
      <c r="G772" s="46">
        <f>49900</f>
        <v>49900</v>
      </c>
      <c r="H772" s="46">
        <f t="shared" si="14"/>
        <v>49900</v>
      </c>
      <c r="I772" s="107"/>
      <c r="J772" s="108"/>
      <c r="K772" s="108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</row>
    <row r="773" spans="1:23" s="109" customFormat="1" ht="49.5" customHeight="1" x14ac:dyDescent="0.2">
      <c r="A773" s="49"/>
      <c r="B773" s="49"/>
      <c r="C773" s="49"/>
      <c r="D773" s="151"/>
      <c r="E773" s="177" t="s">
        <v>104</v>
      </c>
      <c r="F773" s="46"/>
      <c r="G773" s="46">
        <f>35000</f>
        <v>35000</v>
      </c>
      <c r="H773" s="46">
        <f t="shared" si="14"/>
        <v>35000</v>
      </c>
      <c r="I773" s="107"/>
      <c r="J773" s="108"/>
      <c r="K773" s="108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</row>
    <row r="774" spans="1:23" s="109" customFormat="1" ht="59.25" customHeight="1" x14ac:dyDescent="0.2">
      <c r="A774" s="49"/>
      <c r="B774" s="49"/>
      <c r="C774" s="49"/>
      <c r="D774" s="151"/>
      <c r="E774" s="177" t="s">
        <v>120</v>
      </c>
      <c r="F774" s="46">
        <f>40000</f>
        <v>40000</v>
      </c>
      <c r="G774" s="46"/>
      <c r="H774" s="46">
        <f>F774+G774</f>
        <v>40000</v>
      </c>
      <c r="I774" s="107"/>
      <c r="J774" s="108"/>
      <c r="K774" s="108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</row>
    <row r="775" spans="1:23" s="109" customFormat="1" ht="42.75" customHeight="1" x14ac:dyDescent="0.2">
      <c r="A775" s="49"/>
      <c r="B775" s="49"/>
      <c r="C775" s="49"/>
      <c r="D775" s="151"/>
      <c r="E775" s="177" t="s">
        <v>209</v>
      </c>
      <c r="F775" s="46"/>
      <c r="G775" s="46">
        <f>45000</f>
        <v>45000</v>
      </c>
      <c r="H775" s="46">
        <f t="shared" ref="H775:H791" si="15">F775+G775</f>
        <v>45000</v>
      </c>
      <c r="I775" s="107"/>
      <c r="J775" s="108"/>
      <c r="K775" s="108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</row>
    <row r="776" spans="1:23" s="109" customFormat="1" ht="42.75" customHeight="1" x14ac:dyDescent="0.2">
      <c r="A776" s="49"/>
      <c r="B776" s="49"/>
      <c r="C776" s="49"/>
      <c r="D776" s="151"/>
      <c r="E776" s="177" t="s">
        <v>210</v>
      </c>
      <c r="F776" s="46"/>
      <c r="G776" s="46">
        <f>45000-25000</f>
        <v>20000</v>
      </c>
      <c r="H776" s="46">
        <f t="shared" si="15"/>
        <v>20000</v>
      </c>
      <c r="I776" s="107"/>
      <c r="J776" s="108"/>
      <c r="K776" s="108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</row>
    <row r="777" spans="1:23" s="109" customFormat="1" ht="42.75" customHeight="1" x14ac:dyDescent="0.2">
      <c r="A777" s="49"/>
      <c r="B777" s="49"/>
      <c r="C777" s="49"/>
      <c r="D777" s="151"/>
      <c r="E777" s="177" t="s">
        <v>211</v>
      </c>
      <c r="F777" s="46"/>
      <c r="G777" s="46">
        <f>400000</f>
        <v>400000</v>
      </c>
      <c r="H777" s="46">
        <f t="shared" si="15"/>
        <v>400000</v>
      </c>
      <c r="I777" s="107"/>
      <c r="J777" s="108"/>
      <c r="K777" s="108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</row>
    <row r="778" spans="1:23" s="109" customFormat="1" ht="42.75" customHeight="1" x14ac:dyDescent="0.2">
      <c r="A778" s="49"/>
      <c r="B778" s="49"/>
      <c r="C778" s="49"/>
      <c r="D778" s="151"/>
      <c r="E778" s="226" t="s">
        <v>221</v>
      </c>
      <c r="F778" s="46"/>
      <c r="G778" s="46">
        <f>267511</f>
        <v>267511</v>
      </c>
      <c r="H778" s="46">
        <f t="shared" si="15"/>
        <v>267511</v>
      </c>
      <c r="I778" s="107"/>
      <c r="J778" s="108"/>
      <c r="K778" s="108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</row>
    <row r="779" spans="1:23" s="109" customFormat="1" ht="42.75" customHeight="1" x14ac:dyDescent="0.2">
      <c r="A779" s="49"/>
      <c r="B779" s="49"/>
      <c r="C779" s="49"/>
      <c r="D779" s="151"/>
      <c r="E779" s="226" t="s">
        <v>222</v>
      </c>
      <c r="F779" s="46"/>
      <c r="G779" s="46">
        <f>228400</f>
        <v>228400</v>
      </c>
      <c r="H779" s="46">
        <f t="shared" si="15"/>
        <v>228400</v>
      </c>
      <c r="I779" s="107"/>
      <c r="J779" s="108"/>
      <c r="K779" s="108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</row>
    <row r="780" spans="1:23" s="109" customFormat="1" ht="42.75" customHeight="1" x14ac:dyDescent="0.2">
      <c r="A780" s="49"/>
      <c r="B780" s="49"/>
      <c r="C780" s="49"/>
      <c r="D780" s="151"/>
      <c r="E780" s="226" t="s">
        <v>223</v>
      </c>
      <c r="F780" s="46"/>
      <c r="G780" s="46">
        <f>200886</f>
        <v>200886</v>
      </c>
      <c r="H780" s="46">
        <f t="shared" si="15"/>
        <v>200886</v>
      </c>
      <c r="I780" s="107"/>
      <c r="J780" s="108"/>
      <c r="K780" s="108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</row>
    <row r="781" spans="1:23" s="109" customFormat="1" ht="42.75" customHeight="1" x14ac:dyDescent="0.2">
      <c r="A781" s="49"/>
      <c r="B781" s="49"/>
      <c r="C781" s="49"/>
      <c r="D781" s="151"/>
      <c r="E781" s="226" t="s">
        <v>224</v>
      </c>
      <c r="F781" s="46"/>
      <c r="G781" s="46">
        <f>30254</f>
        <v>30254</v>
      </c>
      <c r="H781" s="46">
        <f t="shared" si="15"/>
        <v>30254</v>
      </c>
      <c r="I781" s="107"/>
      <c r="J781" s="108"/>
      <c r="K781" s="108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</row>
    <row r="782" spans="1:23" s="109" customFormat="1" ht="63" customHeight="1" x14ac:dyDescent="0.2">
      <c r="A782" s="49"/>
      <c r="B782" s="49"/>
      <c r="C782" s="49"/>
      <c r="D782" s="151"/>
      <c r="E782" s="226" t="s">
        <v>593</v>
      </c>
      <c r="F782" s="46"/>
      <c r="G782" s="46">
        <f>954043</f>
        <v>954043</v>
      </c>
      <c r="H782" s="46">
        <f t="shared" si="15"/>
        <v>954043</v>
      </c>
      <c r="I782" s="107"/>
      <c r="J782" s="108"/>
      <c r="K782" s="108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</row>
    <row r="783" spans="1:23" s="109" customFormat="1" ht="42.75" customHeight="1" x14ac:dyDescent="0.2">
      <c r="A783" s="49"/>
      <c r="B783" s="49"/>
      <c r="C783" s="49"/>
      <c r="D783" s="151"/>
      <c r="E783" s="226" t="s">
        <v>607</v>
      </c>
      <c r="F783" s="46"/>
      <c r="G783" s="46">
        <f>222500</f>
        <v>222500</v>
      </c>
      <c r="H783" s="46">
        <f t="shared" si="15"/>
        <v>222500</v>
      </c>
      <c r="I783" s="107"/>
      <c r="J783" s="108"/>
      <c r="K783" s="108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</row>
    <row r="784" spans="1:23" s="109" customFormat="1" ht="42.75" customHeight="1" x14ac:dyDescent="0.2">
      <c r="A784" s="49"/>
      <c r="B784" s="49"/>
      <c r="C784" s="49"/>
      <c r="D784" s="151"/>
      <c r="E784" s="226" t="s">
        <v>225</v>
      </c>
      <c r="F784" s="46"/>
      <c r="G784" s="46">
        <f>253114</f>
        <v>253114</v>
      </c>
      <c r="H784" s="46">
        <f t="shared" si="15"/>
        <v>253114</v>
      </c>
      <c r="I784" s="107"/>
      <c r="J784" s="108"/>
      <c r="K784" s="108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</row>
    <row r="785" spans="1:23" s="109" customFormat="1" ht="42.75" customHeight="1" x14ac:dyDescent="0.2">
      <c r="A785" s="49"/>
      <c r="B785" s="49"/>
      <c r="C785" s="49"/>
      <c r="D785" s="151"/>
      <c r="E785" s="226" t="s">
        <v>226</v>
      </c>
      <c r="F785" s="46"/>
      <c r="G785" s="46">
        <f>640743</f>
        <v>640743</v>
      </c>
      <c r="H785" s="46">
        <f t="shared" si="15"/>
        <v>640743</v>
      </c>
      <c r="I785" s="107"/>
      <c r="J785" s="108"/>
      <c r="K785" s="108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</row>
    <row r="786" spans="1:23" s="109" customFormat="1" ht="42.75" customHeight="1" x14ac:dyDescent="0.2">
      <c r="A786" s="49"/>
      <c r="B786" s="49"/>
      <c r="C786" s="49"/>
      <c r="D786" s="151"/>
      <c r="E786" s="226" t="s">
        <v>227</v>
      </c>
      <c r="F786" s="46"/>
      <c r="G786" s="46">
        <f>396374</f>
        <v>396374</v>
      </c>
      <c r="H786" s="46">
        <f t="shared" si="15"/>
        <v>396374</v>
      </c>
      <c r="I786" s="107"/>
      <c r="J786" s="108"/>
      <c r="K786" s="108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</row>
    <row r="787" spans="1:23" s="109" customFormat="1" ht="42.75" customHeight="1" x14ac:dyDescent="0.2">
      <c r="A787" s="49"/>
      <c r="B787" s="49"/>
      <c r="C787" s="49"/>
      <c r="D787" s="151"/>
      <c r="E787" s="226" t="s">
        <v>228</v>
      </c>
      <c r="F787" s="46"/>
      <c r="G787" s="46">
        <f>484659</f>
        <v>484659</v>
      </c>
      <c r="H787" s="46">
        <f t="shared" si="15"/>
        <v>484659</v>
      </c>
      <c r="I787" s="107"/>
      <c r="J787" s="108"/>
      <c r="K787" s="108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</row>
    <row r="788" spans="1:23" s="109" customFormat="1" ht="42.75" customHeight="1" x14ac:dyDescent="0.2">
      <c r="A788" s="49"/>
      <c r="B788" s="49"/>
      <c r="C788" s="49"/>
      <c r="D788" s="151"/>
      <c r="E788" s="226" t="s">
        <v>229</v>
      </c>
      <c r="F788" s="46"/>
      <c r="G788" s="46">
        <f>183109</f>
        <v>183109</v>
      </c>
      <c r="H788" s="46">
        <f t="shared" si="15"/>
        <v>183109</v>
      </c>
      <c r="I788" s="107"/>
      <c r="J788" s="108"/>
      <c r="K788" s="108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</row>
    <row r="789" spans="1:23" s="109" customFormat="1" ht="42.75" customHeight="1" x14ac:dyDescent="0.2">
      <c r="A789" s="49"/>
      <c r="B789" s="49"/>
      <c r="C789" s="49"/>
      <c r="D789" s="151"/>
      <c r="E789" s="226" t="s">
        <v>230</v>
      </c>
      <c r="F789" s="46"/>
      <c r="G789" s="46">
        <f>365041</f>
        <v>365041</v>
      </c>
      <c r="H789" s="46">
        <f t="shared" si="15"/>
        <v>365041</v>
      </c>
      <c r="I789" s="107"/>
      <c r="J789" s="108"/>
      <c r="K789" s="108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</row>
    <row r="790" spans="1:23" s="109" customFormat="1" ht="42.75" customHeight="1" x14ac:dyDescent="0.2">
      <c r="A790" s="49"/>
      <c r="B790" s="49"/>
      <c r="C790" s="49"/>
      <c r="D790" s="151"/>
      <c r="E790" s="226" t="s">
        <v>231</v>
      </c>
      <c r="F790" s="46"/>
      <c r="G790" s="46">
        <f>117455</f>
        <v>117455</v>
      </c>
      <c r="H790" s="46">
        <f t="shared" si="15"/>
        <v>117455</v>
      </c>
      <c r="I790" s="107"/>
      <c r="J790" s="108"/>
      <c r="K790" s="108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</row>
    <row r="791" spans="1:23" s="109" customFormat="1" ht="42.75" customHeight="1" x14ac:dyDescent="0.2">
      <c r="A791" s="49"/>
      <c r="B791" s="49"/>
      <c r="C791" s="49"/>
      <c r="D791" s="151"/>
      <c r="E791" s="155" t="s">
        <v>41</v>
      </c>
      <c r="F791" s="46">
        <f>15000</f>
        <v>15000</v>
      </c>
      <c r="G791" s="46"/>
      <c r="H791" s="46">
        <f t="shared" si="15"/>
        <v>15000</v>
      </c>
      <c r="I791" s="107"/>
      <c r="J791" s="108"/>
      <c r="K791" s="108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</row>
    <row r="792" spans="1:23" s="109" customFormat="1" ht="42.75" customHeight="1" x14ac:dyDescent="0.2">
      <c r="A792" s="49"/>
      <c r="B792" s="49"/>
      <c r="C792" s="49"/>
      <c r="D792" s="151"/>
      <c r="E792" s="155" t="s">
        <v>42</v>
      </c>
      <c r="F792" s="46">
        <f>15000</f>
        <v>15000</v>
      </c>
      <c r="G792" s="46"/>
      <c r="H792" s="46">
        <f t="shared" si="14"/>
        <v>15000</v>
      </c>
      <c r="I792" s="107"/>
      <c r="J792" s="108"/>
      <c r="K792" s="108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</row>
    <row r="793" spans="1:23" s="109" customFormat="1" ht="42.75" customHeight="1" x14ac:dyDescent="0.2">
      <c r="A793" s="49"/>
      <c r="B793" s="49"/>
      <c r="C793" s="49"/>
      <c r="D793" s="151"/>
      <c r="E793" s="155" t="s">
        <v>43</v>
      </c>
      <c r="F793" s="46">
        <f>15000</f>
        <v>15000</v>
      </c>
      <c r="G793" s="46"/>
      <c r="H793" s="46">
        <f t="shared" si="14"/>
        <v>15000</v>
      </c>
      <c r="I793" s="107"/>
      <c r="J793" s="108"/>
      <c r="K793" s="108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</row>
    <row r="794" spans="1:23" s="109" customFormat="1" ht="51.75" customHeight="1" x14ac:dyDescent="0.2">
      <c r="A794" s="49"/>
      <c r="B794" s="49"/>
      <c r="C794" s="49"/>
      <c r="D794" s="151"/>
      <c r="E794" s="155" t="s">
        <v>44</v>
      </c>
      <c r="F794" s="46">
        <f>15000</f>
        <v>15000</v>
      </c>
      <c r="G794" s="46"/>
      <c r="H794" s="46">
        <f t="shared" si="14"/>
        <v>15000</v>
      </c>
      <c r="I794" s="107"/>
      <c r="J794" s="108"/>
      <c r="K794" s="108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</row>
    <row r="795" spans="1:23" s="109" customFormat="1" ht="51.75" customHeight="1" x14ac:dyDescent="0.2">
      <c r="A795" s="49"/>
      <c r="B795" s="49"/>
      <c r="C795" s="49"/>
      <c r="D795" s="151"/>
      <c r="E795" s="177" t="s">
        <v>253</v>
      </c>
      <c r="F795" s="46"/>
      <c r="G795" s="46">
        <f>15000</f>
        <v>15000</v>
      </c>
      <c r="H795" s="46">
        <f t="shared" si="14"/>
        <v>15000</v>
      </c>
      <c r="I795" s="107"/>
      <c r="J795" s="108"/>
      <c r="K795" s="108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</row>
    <row r="796" spans="1:23" s="109" customFormat="1" ht="51.75" customHeight="1" x14ac:dyDescent="0.2">
      <c r="A796" s="49"/>
      <c r="B796" s="49"/>
      <c r="C796" s="49"/>
      <c r="D796" s="151"/>
      <c r="E796" s="177" t="s">
        <v>121</v>
      </c>
      <c r="F796" s="46">
        <f>15000</f>
        <v>15000</v>
      </c>
      <c r="G796" s="46"/>
      <c r="H796" s="46">
        <f t="shared" si="14"/>
        <v>15000</v>
      </c>
      <c r="I796" s="107"/>
      <c r="J796" s="108"/>
      <c r="K796" s="108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</row>
    <row r="797" spans="1:23" s="109" customFormat="1" ht="59.25" customHeight="1" x14ac:dyDescent="0.2">
      <c r="A797" s="49"/>
      <c r="B797" s="49"/>
      <c r="C797" s="49"/>
      <c r="D797" s="151"/>
      <c r="E797" s="155" t="s">
        <v>45</v>
      </c>
      <c r="F797" s="46">
        <f>40000</f>
        <v>40000</v>
      </c>
      <c r="G797" s="46"/>
      <c r="H797" s="46">
        <f t="shared" si="14"/>
        <v>40000</v>
      </c>
      <c r="I797" s="107"/>
      <c r="J797" s="108"/>
      <c r="K797" s="108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</row>
    <row r="798" spans="1:23" s="109" customFormat="1" ht="59.25" customHeight="1" x14ac:dyDescent="0.2">
      <c r="A798" s="49"/>
      <c r="B798" s="49"/>
      <c r="C798" s="49"/>
      <c r="D798" s="151"/>
      <c r="E798" s="155" t="s">
        <v>47</v>
      </c>
      <c r="F798" s="46">
        <f>1490000</f>
        <v>1490000</v>
      </c>
      <c r="G798" s="46">
        <f>-490000-1000000</f>
        <v>-1490000</v>
      </c>
      <c r="H798" s="46">
        <f t="shared" si="14"/>
        <v>0</v>
      </c>
      <c r="I798" s="107"/>
      <c r="J798" s="108"/>
      <c r="K798" s="108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</row>
    <row r="799" spans="1:23" s="109" customFormat="1" ht="59.25" customHeight="1" x14ac:dyDescent="0.2">
      <c r="A799" s="49"/>
      <c r="B799" s="49"/>
      <c r="C799" s="49"/>
      <c r="D799" s="151"/>
      <c r="E799" s="155" t="s">
        <v>48</v>
      </c>
      <c r="F799" s="46">
        <f>125000</f>
        <v>125000</v>
      </c>
      <c r="G799" s="46">
        <f>-25000</f>
        <v>-25000</v>
      </c>
      <c r="H799" s="46">
        <f t="shared" si="14"/>
        <v>100000</v>
      </c>
      <c r="I799" s="107"/>
      <c r="J799" s="108"/>
      <c r="K799" s="108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</row>
    <row r="800" spans="1:23" s="109" customFormat="1" ht="59.25" customHeight="1" x14ac:dyDescent="0.2">
      <c r="A800" s="49"/>
      <c r="B800" s="49"/>
      <c r="C800" s="49"/>
      <c r="D800" s="151"/>
      <c r="E800" s="155" t="s">
        <v>49</v>
      </c>
      <c r="F800" s="46">
        <f>280000</f>
        <v>280000</v>
      </c>
      <c r="G800" s="46">
        <f>-50000</f>
        <v>-50000</v>
      </c>
      <c r="H800" s="46">
        <f t="shared" si="14"/>
        <v>230000</v>
      </c>
      <c r="I800" s="107"/>
      <c r="J800" s="108"/>
      <c r="K800" s="108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</row>
    <row r="801" spans="1:23" s="109" customFormat="1" ht="59.25" customHeight="1" x14ac:dyDescent="0.2">
      <c r="A801" s="49"/>
      <c r="B801" s="49"/>
      <c r="C801" s="49"/>
      <c r="D801" s="151"/>
      <c r="E801" s="155" t="s">
        <v>50</v>
      </c>
      <c r="F801" s="46">
        <f>450000</f>
        <v>450000</v>
      </c>
      <c r="G801" s="46">
        <f>-50000</f>
        <v>-50000</v>
      </c>
      <c r="H801" s="46">
        <f t="shared" si="14"/>
        <v>400000</v>
      </c>
      <c r="I801" s="107"/>
      <c r="J801" s="108"/>
      <c r="K801" s="108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</row>
    <row r="802" spans="1:23" s="109" customFormat="1" ht="59.25" customHeight="1" x14ac:dyDescent="0.2">
      <c r="A802" s="49"/>
      <c r="B802" s="49"/>
      <c r="C802" s="49"/>
      <c r="D802" s="151"/>
      <c r="E802" s="155" t="s">
        <v>51</v>
      </c>
      <c r="F802" s="46">
        <f>200000</f>
        <v>200000</v>
      </c>
      <c r="G802" s="46">
        <f>-50000</f>
        <v>-50000</v>
      </c>
      <c r="H802" s="46">
        <f t="shared" si="14"/>
        <v>150000</v>
      </c>
      <c r="I802" s="107"/>
      <c r="J802" s="108"/>
      <c r="K802" s="108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</row>
    <row r="803" spans="1:23" s="109" customFormat="1" ht="59.25" customHeight="1" x14ac:dyDescent="0.2">
      <c r="A803" s="49"/>
      <c r="B803" s="49"/>
      <c r="C803" s="49"/>
      <c r="D803" s="151"/>
      <c r="E803" s="155" t="s">
        <v>52</v>
      </c>
      <c r="F803" s="46">
        <f>49900</f>
        <v>49900</v>
      </c>
      <c r="G803" s="46"/>
      <c r="H803" s="46">
        <f t="shared" si="14"/>
        <v>49900</v>
      </c>
      <c r="I803" s="107"/>
      <c r="J803" s="108"/>
      <c r="K803" s="108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</row>
    <row r="804" spans="1:23" s="150" customFormat="1" ht="46.5" customHeight="1" x14ac:dyDescent="0.2">
      <c r="A804" s="47" t="s">
        <v>726</v>
      </c>
      <c r="B804" s="47"/>
      <c r="C804" s="47"/>
      <c r="D804" s="19" t="s">
        <v>282</v>
      </c>
      <c r="E804" s="143"/>
      <c r="F804" s="80">
        <f>F806</f>
        <v>12583862</v>
      </c>
      <c r="G804" s="80">
        <f>G806</f>
        <v>-4170962</v>
      </c>
      <c r="H804" s="80">
        <f>F804+G804</f>
        <v>8412900</v>
      </c>
      <c r="I804" s="148"/>
      <c r="J804" s="149"/>
      <c r="K804" s="149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</row>
    <row r="805" spans="1:23" s="150" customFormat="1" ht="46.5" customHeight="1" x14ac:dyDescent="0.2">
      <c r="A805" s="47" t="s">
        <v>727</v>
      </c>
      <c r="B805" s="47"/>
      <c r="C805" s="47"/>
      <c r="D805" s="36" t="s">
        <v>282</v>
      </c>
      <c r="E805" s="143"/>
      <c r="F805" s="80"/>
      <c r="G805" s="80"/>
      <c r="H805" s="80"/>
      <c r="I805" s="148"/>
      <c r="J805" s="149"/>
      <c r="K805" s="149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</row>
    <row r="806" spans="1:23" s="150" customFormat="1" ht="57.75" customHeight="1" x14ac:dyDescent="0.2">
      <c r="A806" s="49" t="s">
        <v>728</v>
      </c>
      <c r="B806" s="49" t="s">
        <v>723</v>
      </c>
      <c r="C806" s="49" t="s">
        <v>266</v>
      </c>
      <c r="D806" s="49" t="s">
        <v>724</v>
      </c>
      <c r="E806" s="151"/>
      <c r="F806" s="51">
        <f>SUM(F807:F820)</f>
        <v>12583862</v>
      </c>
      <c r="G806" s="51">
        <f>SUM(G807:G820)</f>
        <v>-4170962</v>
      </c>
      <c r="H806" s="51">
        <f t="shared" ref="H806:H820" si="16">F806+G806</f>
        <v>8412900</v>
      </c>
      <c r="I806" s="148"/>
      <c r="J806" s="149"/>
      <c r="K806" s="149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</row>
    <row r="807" spans="1:23" s="150" customFormat="1" ht="35.25" customHeight="1" x14ac:dyDescent="0.2">
      <c r="A807" s="49"/>
      <c r="B807" s="49"/>
      <c r="C807" s="49"/>
      <c r="D807" s="152"/>
      <c r="E807" s="151" t="s">
        <v>519</v>
      </c>
      <c r="F807" s="46">
        <f>2000000</f>
        <v>2000000</v>
      </c>
      <c r="G807" s="46"/>
      <c r="H807" s="46">
        <f t="shared" si="16"/>
        <v>2000000</v>
      </c>
      <c r="I807" s="148"/>
      <c r="J807" s="149"/>
      <c r="K807" s="149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</row>
    <row r="808" spans="1:23" s="150" customFormat="1" ht="46.5" customHeight="1" x14ac:dyDescent="0.2">
      <c r="A808" s="49"/>
      <c r="B808" s="49"/>
      <c r="C808" s="49"/>
      <c r="D808" s="152"/>
      <c r="E808" s="151" t="s">
        <v>731</v>
      </c>
      <c r="F808" s="46">
        <f>500000</f>
        <v>500000</v>
      </c>
      <c r="G808" s="46">
        <f>-100000</f>
        <v>-100000</v>
      </c>
      <c r="H808" s="46">
        <f t="shared" si="16"/>
        <v>400000</v>
      </c>
      <c r="I808" s="148"/>
      <c r="J808" s="149"/>
      <c r="K808" s="149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</row>
    <row r="809" spans="1:23" s="150" customFormat="1" ht="46.5" customHeight="1" x14ac:dyDescent="0.2">
      <c r="A809" s="49"/>
      <c r="B809" s="49"/>
      <c r="C809" s="49"/>
      <c r="D809" s="152"/>
      <c r="E809" s="155" t="s">
        <v>46</v>
      </c>
      <c r="F809" s="46">
        <f>1490000</f>
        <v>1490000</v>
      </c>
      <c r="G809" s="46">
        <f>-1490000</f>
        <v>-1490000</v>
      </c>
      <c r="H809" s="46">
        <f t="shared" si="16"/>
        <v>0</v>
      </c>
      <c r="I809" s="148"/>
      <c r="J809" s="149"/>
      <c r="K809" s="149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</row>
    <row r="810" spans="1:23" s="150" customFormat="1" ht="46.5" customHeight="1" x14ac:dyDescent="0.2">
      <c r="A810" s="49"/>
      <c r="B810" s="49"/>
      <c r="C810" s="49"/>
      <c r="D810" s="152"/>
      <c r="E810" s="226" t="s">
        <v>212</v>
      </c>
      <c r="F810" s="46"/>
      <c r="G810" s="46">
        <f>210000</f>
        <v>210000</v>
      </c>
      <c r="H810" s="46">
        <f t="shared" si="16"/>
        <v>210000</v>
      </c>
      <c r="I810" s="148"/>
      <c r="J810" s="149"/>
      <c r="K810" s="149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</row>
    <row r="811" spans="1:23" s="150" customFormat="1" ht="46.5" customHeight="1" x14ac:dyDescent="0.2">
      <c r="A811" s="49"/>
      <c r="B811" s="49"/>
      <c r="C811" s="49"/>
      <c r="D811" s="152"/>
      <c r="E811" s="177" t="s">
        <v>220</v>
      </c>
      <c r="F811" s="46"/>
      <c r="G811" s="46">
        <f>1000000</f>
        <v>1000000</v>
      </c>
      <c r="H811" s="46">
        <f t="shared" si="16"/>
        <v>1000000</v>
      </c>
      <c r="I811" s="148"/>
      <c r="J811" s="149"/>
      <c r="K811" s="149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</row>
    <row r="812" spans="1:23" s="150" customFormat="1" ht="46.5" customHeight="1" x14ac:dyDescent="0.2">
      <c r="A812" s="49"/>
      <c r="B812" s="49"/>
      <c r="C812" s="49"/>
      <c r="D812" s="152"/>
      <c r="E812" s="226" t="s">
        <v>716</v>
      </c>
      <c r="F812" s="46"/>
      <c r="G812" s="46">
        <f>537643</f>
        <v>537643</v>
      </c>
      <c r="H812" s="46">
        <f t="shared" si="16"/>
        <v>537643</v>
      </c>
      <c r="I812" s="148"/>
      <c r="J812" s="149"/>
      <c r="K812" s="149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</row>
    <row r="813" spans="1:23" s="150" customFormat="1" ht="61.5" customHeight="1" x14ac:dyDescent="0.2">
      <c r="A813" s="49"/>
      <c r="B813" s="49"/>
      <c r="C813" s="49"/>
      <c r="D813" s="152"/>
      <c r="E813" s="226" t="s">
        <v>213</v>
      </c>
      <c r="F813" s="46"/>
      <c r="G813" s="46">
        <f>375800</f>
        <v>375800</v>
      </c>
      <c r="H813" s="46">
        <f t="shared" si="16"/>
        <v>375800</v>
      </c>
      <c r="I813" s="148"/>
      <c r="J813" s="149"/>
      <c r="K813" s="149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</row>
    <row r="814" spans="1:23" s="150" customFormat="1" ht="61.5" customHeight="1" x14ac:dyDescent="0.2">
      <c r="A814" s="49"/>
      <c r="B814" s="49"/>
      <c r="C814" s="49"/>
      <c r="D814" s="152"/>
      <c r="E814" s="226" t="s">
        <v>214</v>
      </c>
      <c r="F814" s="46"/>
      <c r="G814" s="46">
        <f>165000</f>
        <v>165000</v>
      </c>
      <c r="H814" s="46">
        <f t="shared" si="16"/>
        <v>165000</v>
      </c>
      <c r="I814" s="148"/>
      <c r="J814" s="149"/>
      <c r="K814" s="149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</row>
    <row r="815" spans="1:23" s="150" customFormat="1" ht="61.5" customHeight="1" x14ac:dyDescent="0.2">
      <c r="A815" s="49"/>
      <c r="B815" s="49"/>
      <c r="C815" s="49"/>
      <c r="D815" s="152"/>
      <c r="E815" s="226" t="s">
        <v>215</v>
      </c>
      <c r="F815" s="46"/>
      <c r="G815" s="46">
        <f>800000</f>
        <v>800000</v>
      </c>
      <c r="H815" s="46">
        <f t="shared" si="16"/>
        <v>800000</v>
      </c>
      <c r="I815" s="148"/>
      <c r="J815" s="149"/>
      <c r="K815" s="149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</row>
    <row r="816" spans="1:23" s="150" customFormat="1" ht="84" customHeight="1" x14ac:dyDescent="0.2">
      <c r="A816" s="49"/>
      <c r="B816" s="49"/>
      <c r="C816" s="49"/>
      <c r="D816" s="152"/>
      <c r="E816" s="226" t="s">
        <v>451</v>
      </c>
      <c r="F816" s="46"/>
      <c r="G816" s="46">
        <f>1953448</f>
        <v>1953448</v>
      </c>
      <c r="H816" s="46">
        <f t="shared" si="16"/>
        <v>1953448</v>
      </c>
      <c r="I816" s="148"/>
      <c r="J816" s="149"/>
      <c r="K816" s="149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</row>
    <row r="817" spans="1:23" s="150" customFormat="1" ht="44.25" customHeight="1" x14ac:dyDescent="0.2">
      <c r="A817" s="49"/>
      <c r="B817" s="49"/>
      <c r="C817" s="49"/>
      <c r="D817" s="152"/>
      <c r="E817" s="226" t="s">
        <v>567</v>
      </c>
      <c r="F817" s="46"/>
      <c r="G817" s="46">
        <f>398000</f>
        <v>398000</v>
      </c>
      <c r="H817" s="46">
        <f t="shared" si="16"/>
        <v>398000</v>
      </c>
      <c r="I817" s="148"/>
      <c r="J817" s="149"/>
      <c r="K817" s="149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</row>
    <row r="818" spans="1:23" s="150" customFormat="1" ht="46.5" customHeight="1" x14ac:dyDescent="0.2">
      <c r="A818" s="49"/>
      <c r="B818" s="49"/>
      <c r="C818" s="49"/>
      <c r="D818" s="152"/>
      <c r="E818" s="177" t="s">
        <v>17</v>
      </c>
      <c r="F818" s="46">
        <f>5846126</f>
        <v>5846126</v>
      </c>
      <c r="G818" s="46">
        <f>-4439891-754841-351973</f>
        <v>-5546705</v>
      </c>
      <c r="H818" s="46">
        <f t="shared" si="16"/>
        <v>299421</v>
      </c>
      <c r="I818" s="148"/>
      <c r="J818" s="149"/>
      <c r="K818" s="149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</row>
    <row r="819" spans="1:23" s="150" customFormat="1" ht="54" customHeight="1" x14ac:dyDescent="0.2">
      <c r="A819" s="49"/>
      <c r="B819" s="49"/>
      <c r="C819" s="49"/>
      <c r="D819" s="152"/>
      <c r="E819" s="177" t="s">
        <v>97</v>
      </c>
      <c r="F819" s="46">
        <f>58338</f>
        <v>58338</v>
      </c>
      <c r="G819" s="46"/>
      <c r="H819" s="46">
        <f t="shared" si="16"/>
        <v>58338</v>
      </c>
      <c r="I819" s="148"/>
      <c r="J819" s="149"/>
      <c r="K819" s="149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</row>
    <row r="820" spans="1:23" s="150" customFormat="1" ht="46.5" customHeight="1" x14ac:dyDescent="0.2">
      <c r="A820" s="49"/>
      <c r="B820" s="49"/>
      <c r="C820" s="49"/>
      <c r="D820" s="152"/>
      <c r="E820" s="151" t="s">
        <v>724</v>
      </c>
      <c r="F820" s="46">
        <f>13400000-1399800-3635000+170324-5846126</f>
        <v>2689398</v>
      </c>
      <c r="G820" s="46">
        <f>900000-3589248+215100</f>
        <v>-2474148</v>
      </c>
      <c r="H820" s="46">
        <f t="shared" si="16"/>
        <v>215250</v>
      </c>
      <c r="I820" s="148"/>
      <c r="J820" s="149"/>
      <c r="K820" s="149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</row>
    <row r="821" spans="1:23" s="150" customFormat="1" ht="26.25" customHeight="1" x14ac:dyDescent="0.2">
      <c r="A821" s="20" t="s">
        <v>357</v>
      </c>
      <c r="B821" s="47"/>
      <c r="C821" s="47"/>
      <c r="D821" s="47" t="s">
        <v>284</v>
      </c>
      <c r="E821" s="151"/>
      <c r="F821" s="80">
        <f>F823</f>
        <v>0</v>
      </c>
      <c r="G821" s="80">
        <f>G823</f>
        <v>990000</v>
      </c>
      <c r="H821" s="80">
        <f>F821+G821</f>
        <v>990000</v>
      </c>
      <c r="I821" s="148"/>
      <c r="J821" s="157"/>
      <c r="K821" s="149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</row>
    <row r="822" spans="1:23" s="150" customFormat="1" ht="26.25" customHeight="1" x14ac:dyDescent="0.2">
      <c r="A822" s="20" t="s">
        <v>358</v>
      </c>
      <c r="B822" s="47"/>
      <c r="C822" s="47"/>
      <c r="D822" s="48" t="s">
        <v>284</v>
      </c>
      <c r="E822" s="151"/>
      <c r="F822" s="80"/>
      <c r="G822" s="80"/>
      <c r="H822" s="80"/>
      <c r="I822" s="148"/>
      <c r="J822" s="149"/>
      <c r="K822" s="149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</row>
    <row r="823" spans="1:23" s="150" customFormat="1" ht="55.5" customHeight="1" x14ac:dyDescent="0.2">
      <c r="A823" s="49" t="s">
        <v>244</v>
      </c>
      <c r="B823" s="49" t="s">
        <v>723</v>
      </c>
      <c r="C823" s="49" t="s">
        <v>266</v>
      </c>
      <c r="D823" s="49" t="s">
        <v>724</v>
      </c>
      <c r="E823" s="151"/>
      <c r="F823" s="51">
        <f>SUM(F824)</f>
        <v>0</v>
      </c>
      <c r="G823" s="51">
        <f>SUM(G824)</f>
        <v>990000</v>
      </c>
      <c r="H823" s="51">
        <f>F823+G823</f>
        <v>990000</v>
      </c>
      <c r="I823" s="148"/>
      <c r="J823" s="149"/>
      <c r="K823" s="149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</row>
    <row r="824" spans="1:23" s="150" customFormat="1" ht="33" customHeight="1" x14ac:dyDescent="0.2">
      <c r="A824" s="49"/>
      <c r="B824" s="49"/>
      <c r="C824" s="49"/>
      <c r="D824" s="152"/>
      <c r="E824" s="177" t="s">
        <v>446</v>
      </c>
      <c r="F824" s="46"/>
      <c r="G824" s="46">
        <f>990000</f>
        <v>990000</v>
      </c>
      <c r="H824" s="46">
        <f>F824+G824</f>
        <v>990000</v>
      </c>
      <c r="I824" s="148"/>
      <c r="J824" s="149"/>
      <c r="K824" s="149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</row>
    <row r="825" spans="1:23" s="150" customFormat="1" ht="130.5" customHeight="1" x14ac:dyDescent="0.2">
      <c r="A825" s="49"/>
      <c r="B825" s="49"/>
      <c r="C825" s="49"/>
      <c r="D825" s="49"/>
      <c r="E825" s="156" t="s">
        <v>729</v>
      </c>
      <c r="F825" s="80">
        <f>F804+F764+F719+F717+F749+F743+F821</f>
        <v>1045705069</v>
      </c>
      <c r="G825" s="80">
        <f>G804+G764+G719+G717+G749+G743+G821</f>
        <v>-52523791</v>
      </c>
      <c r="H825" s="80">
        <f>H804+H764+H719+H717+H749+H743+H821</f>
        <v>993181278</v>
      </c>
      <c r="I825" s="148"/>
      <c r="J825" s="157"/>
      <c r="K825" s="99"/>
      <c r="L825" s="172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</row>
    <row r="826" spans="1:23" s="158" customFormat="1" ht="27" customHeight="1" x14ac:dyDescent="0.2">
      <c r="A826" s="142"/>
      <c r="B826" s="142"/>
      <c r="C826" s="142"/>
      <c r="D826" s="142"/>
      <c r="E826" s="143" t="s">
        <v>286</v>
      </c>
      <c r="F826" s="144">
        <f>F825+F179</f>
        <v>1415470825</v>
      </c>
      <c r="G826" s="144">
        <f>G825+G179</f>
        <v>-52025298</v>
      </c>
      <c r="H826" s="144">
        <f>H825+H179</f>
        <v>1363445527</v>
      </c>
      <c r="I826" s="61"/>
      <c r="J826" s="99"/>
      <c r="K826" s="99"/>
      <c r="L826" s="173"/>
      <c r="M826" s="61"/>
      <c r="N826" s="61"/>
      <c r="O826" s="61"/>
      <c r="P826" s="61"/>
      <c r="Q826" s="61"/>
      <c r="R826" s="61"/>
    </row>
    <row r="827" spans="1:23" ht="20.25" x14ac:dyDescent="0.2">
      <c r="A827" s="159"/>
      <c r="G827" s="162"/>
      <c r="H827" s="163"/>
      <c r="K827" s="99">
        <f>H827-J827</f>
        <v>0</v>
      </c>
      <c r="L827" s="174"/>
    </row>
    <row r="828" spans="1:23" x14ac:dyDescent="0.2">
      <c r="A828" s="1"/>
      <c r="H828" s="37"/>
      <c r="I828" s="7"/>
      <c r="J828" s="7"/>
      <c r="K828" s="7"/>
      <c r="L828" s="7"/>
      <c r="M828" s="7"/>
      <c r="N828" s="7"/>
      <c r="O828" s="7"/>
      <c r="P828" s="7"/>
      <c r="Q828" s="7"/>
      <c r="R828" s="7"/>
    </row>
    <row r="829" spans="1:23" x14ac:dyDescent="0.2">
      <c r="C829" s="164" t="s">
        <v>370</v>
      </c>
      <c r="D829" s="165"/>
      <c r="E829" s="165"/>
      <c r="G829" s="8" t="s">
        <v>243</v>
      </c>
      <c r="H829" s="37"/>
      <c r="I829" s="7"/>
      <c r="J829" s="7"/>
      <c r="K829" s="7"/>
      <c r="L829" s="7"/>
      <c r="M829" s="7"/>
      <c r="N829" s="7"/>
      <c r="O829" s="7"/>
      <c r="P829" s="7"/>
      <c r="Q829" s="7"/>
      <c r="R829" s="7"/>
    </row>
    <row r="830" spans="1:23" x14ac:dyDescent="0.2">
      <c r="B830" s="7"/>
      <c r="C830" s="7"/>
      <c r="D830" s="7"/>
      <c r="E830" s="7"/>
      <c r="H830" s="37"/>
      <c r="I830" s="7"/>
      <c r="J830" s="7"/>
      <c r="K830" s="7"/>
      <c r="L830" s="7"/>
      <c r="M830" s="7"/>
      <c r="N830" s="7"/>
      <c r="O830" s="7"/>
      <c r="P830" s="7"/>
      <c r="Q830" s="7"/>
      <c r="R830" s="7"/>
    </row>
    <row r="831" spans="1:23" x14ac:dyDescent="0.2">
      <c r="A831" s="7"/>
      <c r="B831" s="7"/>
      <c r="C831" s="7"/>
      <c r="D831" s="7"/>
      <c r="E831" s="7"/>
      <c r="H831" s="37"/>
      <c r="I831" s="7"/>
      <c r="J831" s="7"/>
      <c r="K831" s="7"/>
      <c r="L831" s="7"/>
      <c r="M831" s="7"/>
      <c r="N831" s="7"/>
      <c r="O831" s="7"/>
      <c r="P831" s="7"/>
      <c r="Q831" s="7"/>
      <c r="R831" s="7"/>
    </row>
    <row r="832" spans="1:23" x14ac:dyDescent="0.2">
      <c r="A832" s="7"/>
      <c r="H832" s="37"/>
      <c r="I832" s="7"/>
      <c r="J832" s="7"/>
      <c r="K832" s="7"/>
      <c r="L832" s="7"/>
      <c r="M832" s="7"/>
      <c r="N832" s="7"/>
      <c r="O832" s="7"/>
      <c r="P832" s="7"/>
      <c r="Q832" s="7"/>
      <c r="R832" s="7"/>
    </row>
    <row r="833" spans="1:18" x14ac:dyDescent="0.2">
      <c r="H833" s="37"/>
      <c r="I833" s="7"/>
      <c r="J833" s="7"/>
      <c r="K833" s="7"/>
      <c r="L833" s="7"/>
      <c r="M833" s="7"/>
      <c r="N833" s="7"/>
      <c r="O833" s="7"/>
      <c r="P833" s="7"/>
      <c r="Q833" s="7"/>
      <c r="R833" s="7"/>
    </row>
    <row r="834" spans="1:18" x14ac:dyDescent="0.2">
      <c r="B834" s="7"/>
      <c r="C834" s="7"/>
      <c r="D834" s="7"/>
      <c r="E834" s="7"/>
      <c r="H834" s="37"/>
      <c r="I834" s="7"/>
      <c r="J834" s="7"/>
      <c r="K834" s="7"/>
      <c r="L834" s="7"/>
      <c r="M834" s="7"/>
      <c r="N834" s="7"/>
      <c r="O834" s="7"/>
      <c r="P834" s="7"/>
      <c r="Q834" s="7"/>
      <c r="R834" s="7"/>
    </row>
    <row r="835" spans="1:18" x14ac:dyDescent="0.2">
      <c r="A835" s="7"/>
      <c r="B835" s="7"/>
      <c r="C835" s="7"/>
      <c r="D835" s="7"/>
      <c r="E835" s="7"/>
      <c r="H835" s="37"/>
      <c r="I835" s="7"/>
      <c r="J835" s="7"/>
      <c r="K835" s="7"/>
      <c r="L835" s="7"/>
      <c r="M835" s="7"/>
      <c r="N835" s="7"/>
      <c r="O835" s="7"/>
      <c r="P835" s="7"/>
      <c r="Q835" s="7"/>
      <c r="R835" s="7"/>
    </row>
    <row r="836" spans="1:18" x14ac:dyDescent="0.2">
      <c r="A836" s="7"/>
      <c r="H836" s="37"/>
      <c r="I836" s="7"/>
      <c r="J836" s="7"/>
      <c r="K836" s="7"/>
      <c r="L836" s="7"/>
      <c r="M836" s="7"/>
      <c r="N836" s="7"/>
      <c r="O836" s="7"/>
      <c r="P836" s="7"/>
      <c r="Q836" s="7"/>
      <c r="R836" s="7"/>
    </row>
    <row r="837" spans="1:18" x14ac:dyDescent="0.2">
      <c r="H837" s="37"/>
      <c r="I837" s="7"/>
      <c r="J837" s="7"/>
      <c r="K837" s="7"/>
      <c r="L837" s="7"/>
      <c r="M837" s="7"/>
      <c r="N837" s="7"/>
      <c r="O837" s="7"/>
      <c r="P837" s="7"/>
      <c r="Q837" s="7"/>
      <c r="R837" s="7"/>
    </row>
    <row r="838" spans="1:18" x14ac:dyDescent="0.2">
      <c r="H838" s="37"/>
      <c r="I838" s="7"/>
      <c r="J838" s="7"/>
      <c r="K838" s="7"/>
      <c r="L838" s="7"/>
      <c r="M838" s="7"/>
      <c r="N838" s="7"/>
      <c r="O838" s="7"/>
      <c r="P838" s="7"/>
      <c r="Q838" s="7"/>
      <c r="R838" s="7"/>
    </row>
    <row r="839" spans="1:18" x14ac:dyDescent="0.2">
      <c r="H839" s="37"/>
      <c r="I839" s="7"/>
      <c r="J839" s="7"/>
      <c r="K839" s="7"/>
      <c r="L839" s="7"/>
      <c r="M839" s="7"/>
      <c r="N839" s="7"/>
      <c r="O839" s="7"/>
      <c r="P839" s="7"/>
      <c r="Q839" s="7"/>
      <c r="R839" s="7"/>
    </row>
    <row r="840" spans="1:18" x14ac:dyDescent="0.2">
      <c r="H840" s="37"/>
      <c r="I840" s="7"/>
      <c r="J840" s="7"/>
      <c r="K840" s="7"/>
      <c r="L840" s="7"/>
      <c r="M840" s="7"/>
      <c r="N840" s="7"/>
      <c r="O840" s="7"/>
      <c r="P840" s="7"/>
      <c r="Q840" s="7"/>
      <c r="R840" s="7"/>
    </row>
    <row r="841" spans="1:18" x14ac:dyDescent="0.2">
      <c r="G841" s="162"/>
      <c r="H841" s="163"/>
      <c r="I841" s="7"/>
      <c r="J841" s="7"/>
      <c r="K841" s="7"/>
      <c r="L841" s="7"/>
      <c r="M841" s="7"/>
      <c r="N841" s="7"/>
      <c r="O841" s="7"/>
      <c r="P841" s="7"/>
      <c r="Q841" s="7"/>
      <c r="R841" s="7"/>
    </row>
    <row r="842" spans="1:18" x14ac:dyDescent="0.2">
      <c r="H842" s="37"/>
      <c r="I842" s="7"/>
      <c r="J842" s="7"/>
      <c r="K842" s="7"/>
      <c r="L842" s="7"/>
      <c r="M842" s="7"/>
      <c r="N842" s="7"/>
      <c r="O842" s="7"/>
      <c r="P842" s="7"/>
      <c r="Q842" s="7"/>
      <c r="R842" s="7"/>
    </row>
    <row r="843" spans="1:18" x14ac:dyDescent="0.2">
      <c r="H843" s="37"/>
      <c r="I843" s="7"/>
      <c r="J843" s="7"/>
      <c r="K843" s="7"/>
      <c r="L843" s="7"/>
      <c r="M843" s="7"/>
      <c r="N843" s="7"/>
      <c r="O843" s="7"/>
      <c r="P843" s="7"/>
      <c r="Q843" s="7"/>
      <c r="R843" s="7"/>
    </row>
    <row r="844" spans="1:18" x14ac:dyDescent="0.2">
      <c r="A844" s="7"/>
      <c r="B844" s="7"/>
      <c r="C844" s="7"/>
      <c r="D844" s="7"/>
      <c r="E844" s="7"/>
      <c r="F844" s="7"/>
      <c r="H844" s="37"/>
      <c r="I844" s="7"/>
      <c r="J844" s="7"/>
      <c r="K844" s="7"/>
      <c r="L844" s="7"/>
      <c r="M844" s="7"/>
      <c r="N844" s="7"/>
      <c r="O844" s="7"/>
      <c r="P844" s="7"/>
      <c r="Q844" s="7"/>
      <c r="R844" s="7"/>
    </row>
    <row r="845" spans="1:18" x14ac:dyDescent="0.2">
      <c r="A845" s="7"/>
      <c r="B845" s="7"/>
      <c r="C845" s="7"/>
      <c r="D845" s="7"/>
      <c r="E845" s="7"/>
      <c r="F845" s="7"/>
      <c r="H845" s="37"/>
      <c r="I845" s="7"/>
      <c r="J845" s="7"/>
      <c r="K845" s="7"/>
      <c r="L845" s="7"/>
      <c r="M845" s="7"/>
      <c r="N845" s="7"/>
      <c r="O845" s="7"/>
      <c r="P845" s="7"/>
      <c r="Q845" s="7"/>
      <c r="R845" s="7"/>
    </row>
    <row r="846" spans="1:18" x14ac:dyDescent="0.2">
      <c r="A846" s="7"/>
      <c r="B846" s="7"/>
      <c r="C846" s="7"/>
      <c r="D846" s="7"/>
      <c r="E846" s="7"/>
      <c r="F846" s="7"/>
      <c r="H846" s="37"/>
      <c r="I846" s="7"/>
      <c r="J846" s="7"/>
      <c r="K846" s="7"/>
      <c r="L846" s="7"/>
      <c r="M846" s="7"/>
      <c r="N846" s="7"/>
      <c r="O846" s="7"/>
      <c r="P846" s="7"/>
      <c r="Q846" s="7"/>
      <c r="R846" s="7"/>
    </row>
    <row r="847" spans="1:18" x14ac:dyDescent="0.2">
      <c r="A847" s="7"/>
      <c r="B847" s="7"/>
      <c r="C847" s="7"/>
      <c r="D847" s="7"/>
      <c r="E847" s="7"/>
      <c r="F847" s="7"/>
      <c r="H847" s="37"/>
      <c r="I847" s="7"/>
      <c r="J847" s="7"/>
      <c r="K847" s="7"/>
      <c r="L847" s="7"/>
      <c r="M847" s="7"/>
      <c r="N847" s="7"/>
      <c r="O847" s="7"/>
      <c r="P847" s="7"/>
      <c r="Q847" s="7"/>
      <c r="R847" s="7"/>
    </row>
    <row r="848" spans="1:18" x14ac:dyDescent="0.2">
      <c r="A848" s="7"/>
      <c r="B848" s="7"/>
      <c r="C848" s="7"/>
      <c r="D848" s="7"/>
      <c r="E848" s="7"/>
      <c r="F848" s="7"/>
      <c r="H848" s="37"/>
      <c r="I848" s="7"/>
      <c r="J848" s="7"/>
      <c r="K848" s="7"/>
      <c r="L848" s="7"/>
      <c r="M848" s="7"/>
      <c r="N848" s="7"/>
      <c r="O848" s="7"/>
      <c r="P848" s="7"/>
      <c r="Q848" s="7"/>
      <c r="R848" s="7"/>
    </row>
    <row r="849" spans="1:18" x14ac:dyDescent="0.2">
      <c r="A849" s="7"/>
      <c r="B849" s="7"/>
      <c r="C849" s="7"/>
      <c r="D849" s="7"/>
      <c r="E849" s="7"/>
      <c r="F849" s="7"/>
      <c r="G849" s="162"/>
      <c r="H849" s="163"/>
      <c r="I849" s="7"/>
      <c r="J849" s="7"/>
      <c r="K849" s="7"/>
      <c r="L849" s="7"/>
      <c r="M849" s="7"/>
      <c r="N849" s="7"/>
      <c r="O849" s="7"/>
      <c r="P849" s="7"/>
      <c r="Q849" s="7"/>
      <c r="R849" s="7"/>
    </row>
    <row r="850" spans="1:18" x14ac:dyDescent="0.2">
      <c r="A850" s="7"/>
      <c r="B850" s="7"/>
      <c r="C850" s="7"/>
      <c r="D850" s="7"/>
      <c r="E850" s="7"/>
      <c r="F850" s="7"/>
      <c r="H850" s="37"/>
      <c r="I850" s="7"/>
      <c r="J850" s="7"/>
      <c r="K850" s="7"/>
      <c r="L850" s="7"/>
      <c r="M850" s="7"/>
      <c r="N850" s="7"/>
      <c r="O850" s="7"/>
      <c r="P850" s="7"/>
      <c r="Q850" s="7"/>
      <c r="R850" s="7"/>
    </row>
    <row r="851" spans="1:18" x14ac:dyDescent="0.2">
      <c r="A851" s="7"/>
      <c r="B851" s="7"/>
      <c r="C851" s="7"/>
      <c r="D851" s="7"/>
      <c r="E851" s="7"/>
      <c r="F851" s="7"/>
      <c r="H851" s="37"/>
      <c r="I851" s="7"/>
      <c r="J851" s="7"/>
      <c r="K851" s="7"/>
      <c r="L851" s="7"/>
      <c r="M851" s="7"/>
      <c r="N851" s="7"/>
      <c r="O851" s="7"/>
      <c r="P851" s="7"/>
      <c r="Q851" s="7"/>
      <c r="R851" s="7"/>
    </row>
    <row r="852" spans="1:18" x14ac:dyDescent="0.2">
      <c r="A852" s="7"/>
      <c r="B852" s="7"/>
      <c r="C852" s="7"/>
      <c r="D852" s="7"/>
      <c r="E852" s="7"/>
      <c r="F852" s="7"/>
      <c r="H852" s="37"/>
      <c r="I852" s="7"/>
      <c r="J852" s="7"/>
      <c r="K852" s="7"/>
      <c r="L852" s="7"/>
      <c r="M852" s="7"/>
      <c r="N852" s="7"/>
      <c r="O852" s="7"/>
      <c r="P852" s="7"/>
      <c r="Q852" s="7"/>
      <c r="R852" s="7"/>
    </row>
    <row r="853" spans="1:18" x14ac:dyDescent="0.2">
      <c r="A853" s="7"/>
      <c r="B853" s="7"/>
      <c r="C853" s="7"/>
      <c r="D853" s="7"/>
      <c r="E853" s="7"/>
      <c r="F853" s="7"/>
      <c r="H853" s="37"/>
      <c r="I853" s="7"/>
      <c r="J853" s="7"/>
      <c r="K853" s="7"/>
      <c r="L853" s="7"/>
      <c r="M853" s="7"/>
      <c r="N853" s="7"/>
      <c r="O853" s="7"/>
      <c r="P853" s="7"/>
      <c r="Q853" s="7"/>
      <c r="R853" s="7"/>
    </row>
    <row r="854" spans="1:18" x14ac:dyDescent="0.2">
      <c r="A854" s="7"/>
      <c r="B854" s="7"/>
      <c r="C854" s="7"/>
      <c r="D854" s="7"/>
      <c r="E854" s="7"/>
      <c r="F854" s="7"/>
      <c r="H854" s="37"/>
      <c r="I854" s="7"/>
      <c r="J854" s="7"/>
      <c r="K854" s="7"/>
      <c r="L854" s="7"/>
      <c r="M854" s="7"/>
      <c r="N854" s="7"/>
      <c r="O854" s="7"/>
      <c r="P854" s="7"/>
      <c r="Q854" s="7"/>
      <c r="R854" s="7"/>
    </row>
    <row r="855" spans="1:18" x14ac:dyDescent="0.2">
      <c r="A855" s="7"/>
      <c r="B855" s="7"/>
      <c r="C855" s="7"/>
      <c r="D855" s="7"/>
      <c r="E855" s="7"/>
      <c r="F855" s="7"/>
      <c r="H855" s="37"/>
      <c r="I855" s="7"/>
      <c r="J855" s="7"/>
      <c r="K855" s="7"/>
      <c r="L855" s="7"/>
      <c r="M855" s="7"/>
      <c r="N855" s="7"/>
      <c r="O855" s="7"/>
      <c r="P855" s="7"/>
      <c r="Q855" s="7"/>
      <c r="R855" s="7"/>
    </row>
    <row r="856" spans="1:18" x14ac:dyDescent="0.2">
      <c r="A856" s="7"/>
      <c r="B856" s="7"/>
      <c r="C856" s="7"/>
      <c r="D856" s="7"/>
      <c r="E856" s="7"/>
      <c r="F856" s="7"/>
      <c r="H856" s="37"/>
      <c r="I856" s="7"/>
      <c r="J856" s="7"/>
      <c r="K856" s="7"/>
      <c r="L856" s="7"/>
      <c r="M856" s="7"/>
      <c r="N856" s="7"/>
      <c r="O856" s="7"/>
      <c r="P856" s="7"/>
      <c r="Q856" s="7"/>
      <c r="R856" s="7"/>
    </row>
    <row r="857" spans="1:18" x14ac:dyDescent="0.2">
      <c r="A857" s="7"/>
      <c r="B857" s="7"/>
      <c r="C857" s="7"/>
      <c r="D857" s="7"/>
      <c r="E857" s="7"/>
      <c r="F857" s="7"/>
      <c r="H857" s="37"/>
      <c r="I857" s="7"/>
      <c r="J857" s="7"/>
      <c r="K857" s="7"/>
      <c r="L857" s="7"/>
      <c r="M857" s="7"/>
      <c r="N857" s="7"/>
      <c r="O857" s="7"/>
      <c r="P857" s="7"/>
      <c r="Q857" s="7"/>
      <c r="R857" s="7"/>
    </row>
    <row r="858" spans="1:18" x14ac:dyDescent="0.2">
      <c r="A858" s="7"/>
      <c r="B858" s="7"/>
      <c r="C858" s="7"/>
      <c r="D858" s="7"/>
      <c r="E858" s="7"/>
      <c r="F858" s="7"/>
      <c r="H858" s="37"/>
      <c r="I858" s="7"/>
      <c r="J858" s="7"/>
      <c r="K858" s="7"/>
      <c r="L858" s="7"/>
      <c r="M858" s="7"/>
      <c r="N858" s="7"/>
      <c r="O858" s="7"/>
      <c r="P858" s="7"/>
      <c r="Q858" s="7"/>
      <c r="R858" s="7"/>
    </row>
    <row r="859" spans="1:18" x14ac:dyDescent="0.2">
      <c r="A859" s="7"/>
      <c r="B859" s="7"/>
      <c r="C859" s="7"/>
      <c r="D859" s="7"/>
      <c r="E859" s="7"/>
      <c r="F859" s="7"/>
      <c r="H859" s="37"/>
      <c r="I859" s="7"/>
      <c r="J859" s="7"/>
      <c r="K859" s="7"/>
      <c r="L859" s="7"/>
      <c r="M859" s="7"/>
      <c r="N859" s="7"/>
      <c r="O859" s="7"/>
      <c r="P859" s="7"/>
      <c r="Q859" s="7"/>
      <c r="R859" s="7"/>
    </row>
    <row r="860" spans="1:18" x14ac:dyDescent="0.2">
      <c r="A860" s="7"/>
      <c r="B860" s="7"/>
      <c r="C860" s="7"/>
      <c r="D860" s="7"/>
      <c r="E860" s="7"/>
      <c r="F860" s="7"/>
      <c r="H860" s="37"/>
      <c r="I860" s="7"/>
      <c r="J860" s="7"/>
      <c r="K860" s="7"/>
      <c r="L860" s="7"/>
      <c r="M860" s="7"/>
      <c r="N860" s="7"/>
      <c r="O860" s="7"/>
      <c r="P860" s="7"/>
      <c r="Q860" s="7"/>
      <c r="R860" s="7"/>
    </row>
    <row r="861" spans="1:18" x14ac:dyDescent="0.2">
      <c r="A861" s="7"/>
      <c r="B861" s="7"/>
      <c r="C861" s="7"/>
      <c r="D861" s="7"/>
      <c r="E861" s="7"/>
      <c r="F861" s="7"/>
      <c r="H861" s="37"/>
      <c r="I861" s="7"/>
      <c r="J861" s="7"/>
      <c r="K861" s="7"/>
      <c r="L861" s="7"/>
      <c r="M861" s="7"/>
      <c r="N861" s="7"/>
      <c r="O861" s="7"/>
      <c r="P861" s="7"/>
      <c r="Q861" s="7"/>
      <c r="R861" s="7"/>
    </row>
    <row r="862" spans="1:18" x14ac:dyDescent="0.2">
      <c r="A862" s="7"/>
      <c r="B862" s="7"/>
      <c r="C862" s="7"/>
      <c r="D862" s="7"/>
      <c r="E862" s="7"/>
      <c r="F862" s="7"/>
      <c r="H862" s="37"/>
      <c r="I862" s="7"/>
      <c r="J862" s="7"/>
      <c r="K862" s="7"/>
      <c r="L862" s="7"/>
      <c r="M862" s="7"/>
      <c r="N862" s="7"/>
      <c r="O862" s="7"/>
      <c r="P862" s="7"/>
      <c r="Q862" s="7"/>
      <c r="R862" s="7"/>
    </row>
    <row r="863" spans="1:18" x14ac:dyDescent="0.2">
      <c r="A863" s="7"/>
      <c r="B863" s="7"/>
      <c r="C863" s="7"/>
      <c r="D863" s="7"/>
      <c r="E863" s="7"/>
      <c r="F863" s="7"/>
      <c r="H863" s="37"/>
      <c r="I863" s="7"/>
      <c r="J863" s="7"/>
      <c r="K863" s="7"/>
      <c r="L863" s="7"/>
      <c r="M863" s="7"/>
      <c r="N863" s="7"/>
      <c r="O863" s="7"/>
      <c r="P863" s="7"/>
      <c r="Q863" s="7"/>
      <c r="R863" s="7"/>
    </row>
    <row r="864" spans="1:18" x14ac:dyDescent="0.2">
      <c r="A864" s="7"/>
      <c r="B864" s="7"/>
      <c r="C864" s="7"/>
      <c r="D864" s="7"/>
      <c r="E864" s="7"/>
      <c r="F864" s="7"/>
      <c r="H864" s="37"/>
      <c r="I864" s="7"/>
      <c r="J864" s="7"/>
      <c r="K864" s="7"/>
      <c r="L864" s="7"/>
      <c r="M864" s="7"/>
      <c r="N864" s="7"/>
      <c r="O864" s="7"/>
      <c r="P864" s="7"/>
      <c r="Q864" s="7"/>
      <c r="R864" s="7"/>
    </row>
    <row r="865" spans="1:18" x14ac:dyDescent="0.2">
      <c r="A865" s="7"/>
      <c r="B865" s="7"/>
      <c r="C865" s="7"/>
      <c r="D865" s="7"/>
      <c r="E865" s="7"/>
      <c r="F865" s="7"/>
      <c r="H865" s="37"/>
      <c r="I865" s="7"/>
      <c r="J865" s="7"/>
      <c r="K865" s="7"/>
      <c r="L865" s="7"/>
      <c r="M865" s="7"/>
      <c r="N865" s="7"/>
      <c r="O865" s="7"/>
      <c r="P865" s="7"/>
      <c r="Q865" s="7"/>
      <c r="R865" s="7"/>
    </row>
    <row r="866" spans="1:18" x14ac:dyDescent="0.2">
      <c r="A866" s="7"/>
      <c r="B866" s="7"/>
      <c r="C866" s="7"/>
      <c r="D866" s="7"/>
      <c r="E866" s="7"/>
      <c r="F866" s="7"/>
      <c r="H866" s="37"/>
      <c r="I866" s="7"/>
      <c r="J866" s="7"/>
      <c r="K866" s="7"/>
      <c r="L866" s="7"/>
      <c r="M866" s="7"/>
      <c r="N866" s="7"/>
      <c r="O866" s="7"/>
      <c r="P866" s="7"/>
      <c r="Q866" s="7"/>
      <c r="R866" s="7"/>
    </row>
    <row r="867" spans="1:18" x14ac:dyDescent="0.2">
      <c r="A867" s="7"/>
      <c r="B867" s="7"/>
      <c r="C867" s="7"/>
      <c r="D867" s="7"/>
      <c r="E867" s="7"/>
      <c r="F867" s="7"/>
      <c r="G867" s="162"/>
      <c r="H867" s="163"/>
      <c r="I867" s="7"/>
      <c r="J867" s="7"/>
      <c r="K867" s="7"/>
      <c r="L867" s="7"/>
      <c r="M867" s="7"/>
      <c r="N867" s="7"/>
      <c r="O867" s="7"/>
      <c r="P867" s="7"/>
      <c r="Q867" s="7"/>
      <c r="R867" s="7"/>
    </row>
    <row r="868" spans="1:18" x14ac:dyDescent="0.2">
      <c r="A868" s="7"/>
      <c r="B868" s="7"/>
      <c r="C868" s="7"/>
      <c r="D868" s="7"/>
      <c r="E868" s="7"/>
      <c r="F868" s="7"/>
      <c r="H868" s="37"/>
      <c r="I868" s="7"/>
      <c r="J868" s="7"/>
      <c r="K868" s="7"/>
      <c r="L868" s="7"/>
      <c r="M868" s="7"/>
      <c r="N868" s="7"/>
      <c r="O868" s="7"/>
      <c r="P868" s="7"/>
      <c r="Q868" s="7"/>
      <c r="R868" s="7"/>
    </row>
    <row r="869" spans="1:18" x14ac:dyDescent="0.2">
      <c r="A869" s="7"/>
      <c r="B869" s="7"/>
      <c r="C869" s="7"/>
      <c r="D869" s="7"/>
      <c r="E869" s="7"/>
      <c r="F869" s="7"/>
      <c r="H869" s="37"/>
      <c r="I869" s="7"/>
      <c r="J869" s="7"/>
      <c r="K869" s="7"/>
      <c r="L869" s="7"/>
      <c r="M869" s="7"/>
      <c r="N869" s="7"/>
      <c r="O869" s="7"/>
      <c r="P869" s="7"/>
      <c r="Q869" s="7"/>
      <c r="R869" s="7"/>
    </row>
    <row r="870" spans="1:18" x14ac:dyDescent="0.2">
      <c r="A870" s="7"/>
      <c r="B870" s="7"/>
      <c r="C870" s="7"/>
      <c r="D870" s="7"/>
      <c r="E870" s="7"/>
      <c r="F870" s="7"/>
      <c r="H870" s="37"/>
      <c r="I870" s="7"/>
      <c r="J870" s="7"/>
      <c r="K870" s="7"/>
      <c r="L870" s="7"/>
      <c r="M870" s="7"/>
      <c r="N870" s="7"/>
      <c r="O870" s="7"/>
      <c r="P870" s="7"/>
      <c r="Q870" s="7"/>
      <c r="R870" s="7"/>
    </row>
    <row r="871" spans="1:18" x14ac:dyDescent="0.2">
      <c r="A871" s="7"/>
      <c r="B871" s="7"/>
      <c r="C871" s="7"/>
      <c r="D871" s="7"/>
      <c r="E871" s="7"/>
      <c r="F871" s="7"/>
      <c r="G871" s="162"/>
      <c r="H871" s="163"/>
      <c r="I871" s="7"/>
      <c r="J871" s="7"/>
      <c r="K871" s="7"/>
      <c r="L871" s="7"/>
      <c r="M871" s="7"/>
      <c r="N871" s="7"/>
      <c r="O871" s="7"/>
      <c r="P871" s="7"/>
      <c r="Q871" s="7"/>
      <c r="R871" s="7"/>
    </row>
    <row r="872" spans="1:18" x14ac:dyDescent="0.2">
      <c r="A872" s="7"/>
      <c r="B872" s="7"/>
      <c r="C872" s="7"/>
      <c r="D872" s="7"/>
      <c r="E872" s="7"/>
      <c r="F872" s="7"/>
      <c r="H872" s="37"/>
      <c r="I872" s="7"/>
      <c r="J872" s="7"/>
      <c r="K872" s="7"/>
      <c r="L872" s="7"/>
      <c r="M872" s="7"/>
      <c r="N872" s="7"/>
      <c r="O872" s="7"/>
      <c r="P872" s="7"/>
      <c r="Q872" s="7"/>
      <c r="R872" s="7"/>
    </row>
    <row r="873" spans="1:18" x14ac:dyDescent="0.2">
      <c r="A873" s="7"/>
      <c r="B873" s="7"/>
      <c r="C873" s="7"/>
      <c r="D873" s="7"/>
      <c r="E873" s="7"/>
      <c r="F873" s="7"/>
      <c r="G873" s="166"/>
      <c r="H873" s="166"/>
      <c r="I873" s="7"/>
      <c r="J873" s="7"/>
      <c r="K873" s="7"/>
      <c r="L873" s="7"/>
      <c r="M873" s="7"/>
      <c r="N873" s="7"/>
      <c r="O873" s="7"/>
      <c r="P873" s="7"/>
      <c r="Q873" s="7"/>
      <c r="R873" s="7"/>
    </row>
    <row r="874" spans="1:18" x14ac:dyDescent="0.2">
      <c r="A874" s="7"/>
      <c r="B874" s="7"/>
      <c r="C874" s="7"/>
      <c r="D874" s="7"/>
      <c r="E874" s="7"/>
      <c r="F874" s="7"/>
      <c r="G874" s="166"/>
      <c r="H874" s="166"/>
      <c r="I874" s="7"/>
      <c r="J874" s="7"/>
      <c r="K874" s="7"/>
      <c r="L874" s="7"/>
      <c r="M874" s="7"/>
      <c r="N874" s="7"/>
      <c r="O874" s="7"/>
      <c r="P874" s="7"/>
      <c r="Q874" s="7"/>
      <c r="R874" s="7"/>
    </row>
    <row r="875" spans="1:18" x14ac:dyDescent="0.2">
      <c r="A875" s="7"/>
      <c r="B875" s="7"/>
      <c r="C875" s="7"/>
      <c r="D875" s="7"/>
      <c r="E875" s="7"/>
      <c r="F875" s="7"/>
      <c r="G875" s="163"/>
      <c r="H875" s="163"/>
      <c r="I875" s="7"/>
      <c r="J875" s="7"/>
      <c r="K875" s="7"/>
      <c r="L875" s="7"/>
      <c r="M875" s="7"/>
      <c r="N875" s="7"/>
      <c r="O875" s="7"/>
      <c r="P875" s="7"/>
      <c r="Q875" s="7"/>
      <c r="R875" s="7"/>
    </row>
    <row r="876" spans="1:18" x14ac:dyDescent="0.2">
      <c r="A876" s="7"/>
      <c r="B876" s="7"/>
      <c r="C876" s="7"/>
      <c r="D876" s="7"/>
      <c r="E876" s="7"/>
      <c r="F876" s="7"/>
      <c r="G876" s="37"/>
      <c r="H876" s="37"/>
      <c r="I876" s="7"/>
      <c r="J876" s="7"/>
      <c r="K876" s="7"/>
      <c r="L876" s="7"/>
      <c r="M876" s="7"/>
      <c r="N876" s="7"/>
      <c r="O876" s="7"/>
      <c r="P876" s="7"/>
      <c r="Q876" s="7"/>
      <c r="R876" s="7"/>
    </row>
    <row r="877" spans="1:18" x14ac:dyDescent="0.2">
      <c r="A877" s="7"/>
      <c r="B877" s="7"/>
      <c r="C877" s="7"/>
      <c r="D877" s="7"/>
      <c r="E877" s="7"/>
      <c r="F877" s="7"/>
      <c r="G877" s="37"/>
      <c r="H877" s="37"/>
      <c r="I877" s="7"/>
      <c r="J877" s="7"/>
      <c r="K877" s="7"/>
      <c r="L877" s="7"/>
      <c r="M877" s="7"/>
      <c r="N877" s="7"/>
      <c r="O877" s="7"/>
      <c r="P877" s="7"/>
      <c r="Q877" s="7"/>
      <c r="R877" s="7"/>
    </row>
    <row r="878" spans="1:18" ht="19.5" x14ac:dyDescent="0.2">
      <c r="A878" s="7"/>
      <c r="B878" s="7"/>
      <c r="C878" s="7"/>
      <c r="D878" s="7"/>
      <c r="E878" s="7"/>
      <c r="F878" s="7"/>
      <c r="G878" s="167"/>
      <c r="H878" s="163"/>
      <c r="I878" s="7"/>
      <c r="J878" s="7"/>
      <c r="K878" s="7"/>
      <c r="L878" s="7"/>
      <c r="M878" s="7"/>
      <c r="N878" s="7"/>
      <c r="O878" s="7"/>
      <c r="P878" s="7"/>
      <c r="Q878" s="7"/>
      <c r="R878" s="7"/>
    </row>
    <row r="879" spans="1:18" x14ac:dyDescent="0.2">
      <c r="A879" s="7"/>
      <c r="B879" s="7"/>
      <c r="C879" s="7"/>
      <c r="D879" s="7"/>
      <c r="E879" s="7"/>
      <c r="F879" s="7"/>
      <c r="G879" s="37"/>
      <c r="H879" s="37"/>
      <c r="I879" s="7"/>
      <c r="J879" s="7"/>
      <c r="K879" s="7"/>
      <c r="L879" s="7"/>
      <c r="M879" s="7"/>
      <c r="N879" s="7"/>
      <c r="O879" s="7"/>
      <c r="P879" s="7"/>
      <c r="Q879" s="7"/>
      <c r="R879" s="7"/>
    </row>
    <row r="880" spans="1:18" x14ac:dyDescent="0.2">
      <c r="A880" s="7"/>
      <c r="B880" s="7"/>
      <c r="C880" s="7"/>
      <c r="D880" s="7"/>
      <c r="E880" s="7"/>
      <c r="F880" s="7"/>
      <c r="G880" s="166"/>
      <c r="H880" s="166"/>
      <c r="I880" s="7"/>
      <c r="J880" s="7"/>
      <c r="K880" s="7"/>
      <c r="L880" s="7"/>
      <c r="M880" s="7"/>
      <c r="N880" s="7"/>
      <c r="O880" s="7"/>
      <c r="P880" s="7"/>
      <c r="Q880" s="7"/>
      <c r="R880" s="7"/>
    </row>
    <row r="881" spans="1:18" x14ac:dyDescent="0.2">
      <c r="A881" s="7"/>
      <c r="B881" s="7"/>
      <c r="C881" s="7"/>
      <c r="D881" s="7"/>
      <c r="E881" s="7"/>
      <c r="F881" s="7"/>
      <c r="G881" s="166"/>
      <c r="H881" s="166"/>
      <c r="I881" s="7"/>
      <c r="J881" s="7"/>
      <c r="K881" s="7"/>
      <c r="L881" s="7"/>
      <c r="M881" s="7"/>
      <c r="N881" s="7"/>
      <c r="O881" s="7"/>
      <c r="P881" s="7"/>
      <c r="Q881" s="7"/>
      <c r="R881" s="7"/>
    </row>
    <row r="882" spans="1:18" x14ac:dyDescent="0.2">
      <c r="A882" s="7"/>
      <c r="B882" s="7"/>
      <c r="C882" s="7"/>
      <c r="D882" s="7"/>
      <c r="E882" s="7"/>
      <c r="F882" s="7"/>
      <c r="G882" s="163"/>
      <c r="H882" s="163"/>
      <c r="I882" s="7"/>
      <c r="J882" s="7"/>
      <c r="K882" s="7"/>
      <c r="L882" s="7"/>
      <c r="M882" s="7"/>
      <c r="N882" s="7"/>
      <c r="O882" s="7"/>
      <c r="P882" s="7"/>
      <c r="Q882" s="7"/>
      <c r="R882" s="7"/>
    </row>
    <row r="883" spans="1:18" x14ac:dyDescent="0.2">
      <c r="A883" s="7"/>
      <c r="B883" s="7"/>
      <c r="C883" s="7"/>
      <c r="D883" s="7"/>
      <c r="E883" s="7"/>
      <c r="F883" s="7"/>
      <c r="G883" s="37"/>
      <c r="H883" s="37"/>
      <c r="I883" s="7"/>
      <c r="J883" s="7"/>
      <c r="K883" s="7"/>
      <c r="L883" s="7"/>
      <c r="M883" s="7"/>
      <c r="N883" s="7"/>
      <c r="O883" s="7"/>
      <c r="P883" s="7"/>
      <c r="Q883" s="7"/>
      <c r="R883" s="7"/>
    </row>
    <row r="884" spans="1:18" x14ac:dyDescent="0.2">
      <c r="A884" s="7"/>
      <c r="B884" s="7"/>
      <c r="C884" s="7"/>
      <c r="D884" s="7"/>
      <c r="E884" s="7"/>
      <c r="F884" s="7"/>
      <c r="G884" s="166"/>
      <c r="H884" s="166"/>
      <c r="I884" s="7"/>
      <c r="J884" s="7"/>
      <c r="K884" s="7"/>
      <c r="L884" s="7"/>
      <c r="M884" s="7"/>
      <c r="N884" s="7"/>
      <c r="O884" s="7"/>
      <c r="P884" s="7"/>
      <c r="Q884" s="7"/>
      <c r="R884" s="7"/>
    </row>
    <row r="885" spans="1:18" x14ac:dyDescent="0.2">
      <c r="A885" s="7"/>
      <c r="B885" s="7"/>
      <c r="C885" s="7"/>
      <c r="D885" s="7"/>
      <c r="E885" s="7"/>
      <c r="F885" s="7"/>
      <c r="G885" s="166"/>
      <c r="H885" s="166"/>
      <c r="I885" s="7"/>
      <c r="J885" s="7"/>
      <c r="K885" s="7"/>
      <c r="L885" s="7"/>
      <c r="M885" s="7"/>
      <c r="N885" s="7"/>
      <c r="O885" s="7"/>
      <c r="P885" s="7"/>
      <c r="Q885" s="7"/>
      <c r="R885" s="7"/>
    </row>
    <row r="886" spans="1:18" x14ac:dyDescent="0.2">
      <c r="A886" s="7"/>
      <c r="B886" s="7"/>
      <c r="C886" s="7"/>
      <c r="D886" s="7"/>
      <c r="E886" s="7"/>
      <c r="F886" s="7"/>
      <c r="G886" s="163"/>
      <c r="H886" s="163"/>
      <c r="I886" s="7"/>
      <c r="J886" s="7"/>
      <c r="K886" s="7"/>
      <c r="L886" s="7"/>
      <c r="M886" s="7"/>
      <c r="N886" s="7"/>
      <c r="O886" s="7"/>
      <c r="P886" s="7"/>
      <c r="Q886" s="7"/>
      <c r="R886" s="7"/>
    </row>
    <row r="887" spans="1:18" x14ac:dyDescent="0.2">
      <c r="A887" s="7"/>
      <c r="B887" s="7"/>
      <c r="C887" s="7"/>
      <c r="D887" s="7"/>
      <c r="E887" s="7"/>
      <c r="F887" s="7"/>
      <c r="G887" s="37"/>
      <c r="H887" s="37"/>
      <c r="I887" s="7"/>
      <c r="J887" s="7"/>
      <c r="K887" s="7"/>
      <c r="L887" s="7"/>
      <c r="M887" s="7"/>
      <c r="N887" s="7"/>
      <c r="O887" s="7"/>
      <c r="P887" s="7"/>
      <c r="Q887" s="7"/>
      <c r="R887" s="7"/>
    </row>
    <row r="888" spans="1:18" x14ac:dyDescent="0.2">
      <c r="A888" s="7"/>
      <c r="B888" s="7"/>
      <c r="C888" s="7"/>
      <c r="D888" s="7"/>
      <c r="E888" s="7"/>
      <c r="F888" s="7"/>
      <c r="G888" s="163"/>
      <c r="H888" s="163"/>
      <c r="I888" s="7"/>
      <c r="J888" s="7"/>
      <c r="K888" s="7"/>
      <c r="L888" s="7"/>
      <c r="M888" s="7"/>
      <c r="N888" s="7"/>
      <c r="O888" s="7"/>
      <c r="P888" s="7"/>
      <c r="Q888" s="7"/>
      <c r="R888" s="7"/>
    </row>
    <row r="889" spans="1:18" x14ac:dyDescent="0.2">
      <c r="A889" s="7"/>
      <c r="B889" s="7"/>
      <c r="C889" s="7"/>
      <c r="D889" s="7"/>
      <c r="E889" s="7"/>
      <c r="F889" s="7"/>
      <c r="G889" s="37"/>
      <c r="H889" s="37"/>
      <c r="I889" s="7"/>
      <c r="J889" s="7"/>
      <c r="K889" s="7"/>
      <c r="L889" s="7"/>
      <c r="M889" s="7"/>
      <c r="N889" s="7"/>
      <c r="O889" s="7"/>
      <c r="P889" s="7"/>
      <c r="Q889" s="7"/>
      <c r="R889" s="7"/>
    </row>
    <row r="890" spans="1:18" x14ac:dyDescent="0.2">
      <c r="A890" s="7"/>
      <c r="B890" s="7"/>
      <c r="C890" s="7"/>
      <c r="D890" s="7"/>
      <c r="E890" s="7"/>
      <c r="F890" s="7"/>
      <c r="G890" s="37"/>
      <c r="H890" s="37"/>
      <c r="I890" s="7"/>
      <c r="J890" s="7"/>
      <c r="K890" s="7"/>
      <c r="L890" s="7"/>
      <c r="M890" s="7"/>
      <c r="N890" s="7"/>
      <c r="O890" s="7"/>
      <c r="P890" s="7"/>
      <c r="Q890" s="7"/>
      <c r="R890" s="7"/>
    </row>
    <row r="891" spans="1:18" x14ac:dyDescent="0.2">
      <c r="A891" s="7"/>
      <c r="B891" s="7"/>
      <c r="C891" s="7"/>
      <c r="D891" s="7"/>
      <c r="E891" s="7"/>
      <c r="F891" s="7"/>
      <c r="G891" s="37"/>
      <c r="H891" s="37"/>
      <c r="I891" s="7"/>
      <c r="J891" s="7"/>
      <c r="K891" s="7"/>
      <c r="L891" s="7"/>
      <c r="M891" s="7"/>
      <c r="N891" s="7"/>
      <c r="O891" s="7"/>
      <c r="P891" s="7"/>
      <c r="Q891" s="7"/>
      <c r="R891" s="7"/>
    </row>
    <row r="892" spans="1:18" x14ac:dyDescent="0.2">
      <c r="A892" s="7"/>
      <c r="B892" s="7"/>
      <c r="C892" s="7"/>
      <c r="D892" s="7"/>
      <c r="E892" s="7"/>
      <c r="F892" s="7"/>
      <c r="G892" s="163"/>
      <c r="H892" s="163"/>
      <c r="I892" s="7"/>
      <c r="J892" s="7"/>
      <c r="K892" s="7"/>
      <c r="L892" s="7"/>
      <c r="M892" s="7"/>
      <c r="N892" s="7"/>
      <c r="O892" s="7"/>
      <c r="P892" s="7"/>
      <c r="Q892" s="7"/>
      <c r="R892" s="7"/>
    </row>
    <row r="893" spans="1:18" x14ac:dyDescent="0.2">
      <c r="A893" s="7"/>
      <c r="B893" s="7"/>
      <c r="C893" s="7"/>
      <c r="D893" s="7"/>
      <c r="E893" s="7"/>
      <c r="F893" s="7"/>
      <c r="G893" s="37"/>
      <c r="H893" s="37"/>
      <c r="I893" s="7"/>
      <c r="J893" s="7"/>
      <c r="K893" s="7"/>
      <c r="L893" s="7"/>
      <c r="M893" s="7"/>
      <c r="N893" s="7"/>
      <c r="O893" s="7"/>
      <c r="P893" s="7"/>
      <c r="Q893" s="7"/>
      <c r="R893" s="7"/>
    </row>
    <row r="894" spans="1:18" x14ac:dyDescent="0.2">
      <c r="A894" s="7"/>
      <c r="B894" s="7"/>
      <c r="C894" s="7"/>
      <c r="D894" s="7"/>
      <c r="E894" s="7"/>
      <c r="F894" s="7"/>
      <c r="G894" s="37"/>
      <c r="H894" s="37"/>
      <c r="I894" s="7"/>
      <c r="J894" s="7"/>
      <c r="K894" s="7"/>
      <c r="L894" s="7"/>
      <c r="M894" s="7"/>
      <c r="N894" s="7"/>
      <c r="O894" s="7"/>
      <c r="P894" s="7"/>
      <c r="Q894" s="7"/>
      <c r="R894" s="7"/>
    </row>
    <row r="895" spans="1:18" x14ac:dyDescent="0.2">
      <c r="A895" s="7"/>
      <c r="B895" s="7"/>
      <c r="C895" s="7"/>
      <c r="D895" s="7"/>
      <c r="E895" s="7"/>
      <c r="F895" s="7"/>
      <c r="G895" s="163"/>
      <c r="H895" s="163"/>
      <c r="I895" s="7"/>
      <c r="J895" s="7"/>
      <c r="K895" s="7"/>
      <c r="L895" s="7"/>
      <c r="M895" s="7"/>
      <c r="N895" s="7"/>
      <c r="O895" s="7"/>
      <c r="P895" s="7"/>
      <c r="Q895" s="7"/>
      <c r="R895" s="7"/>
    </row>
    <row r="896" spans="1:18" x14ac:dyDescent="0.2">
      <c r="A896" s="7"/>
      <c r="B896" s="7"/>
      <c r="C896" s="7"/>
      <c r="D896" s="7"/>
      <c r="E896" s="7"/>
      <c r="F896" s="7"/>
      <c r="G896" s="37"/>
      <c r="H896" s="37"/>
      <c r="I896" s="7"/>
      <c r="J896" s="7"/>
      <c r="K896" s="7"/>
      <c r="L896" s="7"/>
      <c r="M896" s="7"/>
      <c r="N896" s="7"/>
      <c r="O896" s="7"/>
      <c r="P896" s="7"/>
      <c r="Q896" s="7"/>
      <c r="R896" s="7"/>
    </row>
    <row r="897" spans="1:18" x14ac:dyDescent="0.2">
      <c r="A897" s="7"/>
      <c r="B897" s="7"/>
      <c r="C897" s="7"/>
      <c r="D897" s="7"/>
      <c r="E897" s="7"/>
      <c r="F897" s="7"/>
      <c r="G897" s="37"/>
      <c r="H897" s="37"/>
      <c r="I897" s="7"/>
      <c r="J897" s="7"/>
      <c r="K897" s="7"/>
      <c r="L897" s="7"/>
      <c r="M897" s="7"/>
      <c r="N897" s="7"/>
      <c r="O897" s="7"/>
      <c r="P897" s="7"/>
      <c r="Q897" s="7"/>
      <c r="R897" s="7"/>
    </row>
    <row r="898" spans="1:18" x14ac:dyDescent="0.2">
      <c r="A898" s="7"/>
      <c r="B898" s="7"/>
      <c r="C898" s="7"/>
      <c r="D898" s="7"/>
      <c r="E898" s="7"/>
      <c r="F898" s="7"/>
      <c r="G898" s="37"/>
      <c r="H898" s="37"/>
      <c r="I898" s="7"/>
      <c r="J898" s="7"/>
      <c r="K898" s="7"/>
      <c r="L898" s="7"/>
      <c r="M898" s="7"/>
      <c r="N898" s="7"/>
      <c r="O898" s="7"/>
      <c r="P898" s="7"/>
      <c r="Q898" s="7"/>
      <c r="R898" s="7"/>
    </row>
    <row r="899" spans="1:18" x14ac:dyDescent="0.2">
      <c r="A899" s="7"/>
      <c r="B899" s="7"/>
      <c r="C899" s="7"/>
      <c r="D899" s="7"/>
      <c r="E899" s="7"/>
      <c r="F899" s="7"/>
      <c r="G899" s="163"/>
      <c r="H899" s="163"/>
      <c r="I899" s="7"/>
      <c r="J899" s="7"/>
      <c r="K899" s="7"/>
      <c r="L899" s="7"/>
      <c r="M899" s="7"/>
      <c r="N899" s="7"/>
      <c r="O899" s="7"/>
      <c r="P899" s="7"/>
      <c r="Q899" s="7"/>
      <c r="R899" s="7"/>
    </row>
    <row r="900" spans="1:18" x14ac:dyDescent="0.2">
      <c r="A900" s="7"/>
      <c r="B900" s="7"/>
      <c r="C900" s="7"/>
      <c r="D900" s="7"/>
      <c r="E900" s="7"/>
      <c r="F900" s="7"/>
      <c r="G900" s="37"/>
      <c r="H900" s="37"/>
      <c r="I900" s="7"/>
      <c r="J900" s="7"/>
      <c r="K900" s="7"/>
      <c r="L900" s="7"/>
      <c r="M900" s="7"/>
      <c r="N900" s="7"/>
      <c r="O900" s="7"/>
      <c r="P900" s="7"/>
      <c r="Q900" s="7"/>
      <c r="R900" s="7"/>
    </row>
    <row r="901" spans="1:18" x14ac:dyDescent="0.2">
      <c r="A901" s="7"/>
      <c r="B901" s="7"/>
      <c r="C901" s="7"/>
      <c r="D901" s="7"/>
      <c r="E901" s="7"/>
      <c r="F901" s="7"/>
      <c r="G901" s="163"/>
      <c r="H901" s="163"/>
      <c r="I901" s="7"/>
      <c r="J901" s="7"/>
      <c r="K901" s="7"/>
      <c r="L901" s="7"/>
      <c r="M901" s="7"/>
      <c r="N901" s="7"/>
      <c r="O901" s="7"/>
      <c r="P901" s="7"/>
      <c r="Q901" s="7"/>
      <c r="R901" s="7"/>
    </row>
    <row r="902" spans="1:18" x14ac:dyDescent="0.2">
      <c r="A902" s="7"/>
      <c r="B902" s="7"/>
      <c r="C902" s="7"/>
      <c r="D902" s="7"/>
      <c r="E902" s="7"/>
      <c r="F902" s="7"/>
      <c r="G902" s="37"/>
      <c r="H902" s="37"/>
      <c r="I902" s="7"/>
      <c r="J902" s="7"/>
      <c r="K902" s="7"/>
      <c r="L902" s="7"/>
      <c r="M902" s="7"/>
      <c r="N902" s="7"/>
      <c r="O902" s="7"/>
      <c r="P902" s="7"/>
      <c r="Q902" s="7"/>
      <c r="R902" s="7"/>
    </row>
    <row r="903" spans="1:18" x14ac:dyDescent="0.2">
      <c r="A903" s="7"/>
      <c r="B903" s="7"/>
      <c r="C903" s="7"/>
      <c r="D903" s="7"/>
      <c r="E903" s="7"/>
      <c r="F903" s="7"/>
      <c r="G903" s="166"/>
      <c r="H903" s="166"/>
      <c r="I903" s="7"/>
      <c r="J903" s="7"/>
      <c r="K903" s="7"/>
      <c r="L903" s="7"/>
      <c r="M903" s="7"/>
      <c r="N903" s="7"/>
      <c r="O903" s="7"/>
      <c r="P903" s="7"/>
      <c r="Q903" s="7"/>
      <c r="R903" s="7"/>
    </row>
    <row r="904" spans="1:18" x14ac:dyDescent="0.2">
      <c r="A904" s="7"/>
      <c r="B904" s="7"/>
      <c r="C904" s="7"/>
      <c r="D904" s="7"/>
      <c r="E904" s="7"/>
      <c r="F904" s="7"/>
      <c r="G904" s="111"/>
      <c r="H904" s="166"/>
      <c r="I904" s="7"/>
      <c r="J904" s="7"/>
      <c r="K904" s="7"/>
      <c r="L904" s="7"/>
      <c r="M904" s="7"/>
      <c r="N904" s="7"/>
      <c r="O904" s="7"/>
      <c r="P904" s="7"/>
      <c r="Q904" s="7"/>
      <c r="R904" s="7"/>
    </row>
    <row r="905" spans="1:18" x14ac:dyDescent="0.2">
      <c r="A905" s="7"/>
      <c r="B905" s="7"/>
      <c r="C905" s="7"/>
      <c r="D905" s="7"/>
      <c r="E905" s="7"/>
      <c r="F905" s="7"/>
      <c r="G905" s="163"/>
      <c r="H905" s="163"/>
      <c r="I905" s="7"/>
      <c r="J905" s="7"/>
      <c r="K905" s="7"/>
      <c r="L905" s="7"/>
      <c r="M905" s="7"/>
      <c r="N905" s="7"/>
      <c r="O905" s="7"/>
      <c r="P905" s="7"/>
      <c r="Q905" s="7"/>
      <c r="R905" s="7"/>
    </row>
    <row r="906" spans="1:18" x14ac:dyDescent="0.2">
      <c r="A906" s="7"/>
      <c r="B906" s="7"/>
      <c r="C906" s="7"/>
      <c r="D906" s="7"/>
      <c r="E906" s="7"/>
      <c r="F906" s="7"/>
      <c r="G906" s="106"/>
      <c r="H906" s="37"/>
      <c r="I906" s="7"/>
      <c r="J906" s="7"/>
      <c r="K906" s="7"/>
      <c r="L906" s="7"/>
      <c r="M906" s="7"/>
      <c r="N906" s="7"/>
      <c r="O906" s="7"/>
      <c r="P906" s="7"/>
      <c r="Q906" s="7"/>
      <c r="R906" s="7"/>
    </row>
    <row r="907" spans="1:18" x14ac:dyDescent="0.2">
      <c r="A907" s="7"/>
      <c r="B907" s="7"/>
      <c r="C907" s="7"/>
      <c r="D907" s="7"/>
      <c r="E907" s="7"/>
      <c r="F907" s="7"/>
      <c r="G907" s="106"/>
      <c r="H907" s="37"/>
      <c r="I907" s="7"/>
      <c r="J907" s="7"/>
      <c r="K907" s="7"/>
      <c r="L907" s="7"/>
      <c r="M907" s="7"/>
      <c r="N907" s="7"/>
      <c r="O907" s="7"/>
      <c r="P907" s="7"/>
      <c r="Q907" s="7"/>
      <c r="R907" s="7"/>
    </row>
    <row r="908" spans="1:18" x14ac:dyDescent="0.2">
      <c r="A908" s="7"/>
      <c r="B908" s="7"/>
      <c r="C908" s="7"/>
      <c r="D908" s="7"/>
      <c r="E908" s="7"/>
      <c r="F908" s="7"/>
      <c r="G908" s="106"/>
      <c r="H908" s="37"/>
      <c r="I908" s="7"/>
      <c r="J908" s="7"/>
      <c r="K908" s="7"/>
      <c r="L908" s="7"/>
      <c r="M908" s="7"/>
      <c r="N908" s="7"/>
      <c r="O908" s="7"/>
      <c r="P908" s="7"/>
      <c r="Q908" s="7"/>
      <c r="R908" s="7"/>
    </row>
    <row r="909" spans="1:18" x14ac:dyDescent="0.2">
      <c r="A909" s="7"/>
      <c r="B909" s="7"/>
      <c r="C909" s="7"/>
      <c r="D909" s="7"/>
      <c r="E909" s="7"/>
      <c r="F909" s="7"/>
      <c r="G909" s="166"/>
      <c r="H909" s="166"/>
      <c r="I909" s="7"/>
      <c r="J909" s="7"/>
      <c r="K909" s="7"/>
      <c r="L909" s="7"/>
      <c r="M909" s="7"/>
      <c r="N909" s="7"/>
      <c r="O909" s="7"/>
      <c r="P909" s="7"/>
      <c r="Q909" s="7"/>
      <c r="R909" s="7"/>
    </row>
    <row r="910" spans="1:18" x14ac:dyDescent="0.2">
      <c r="A910" s="7"/>
      <c r="B910" s="7"/>
      <c r="C910" s="7"/>
      <c r="D910" s="7"/>
      <c r="E910" s="7"/>
      <c r="F910" s="7"/>
      <c r="G910" s="166"/>
      <c r="H910" s="166"/>
      <c r="I910" s="7"/>
      <c r="J910" s="7"/>
      <c r="K910" s="7"/>
      <c r="L910" s="7"/>
      <c r="M910" s="7"/>
      <c r="N910" s="7"/>
      <c r="O910" s="7"/>
      <c r="P910" s="7"/>
      <c r="Q910" s="7"/>
      <c r="R910" s="7"/>
    </row>
    <row r="911" spans="1:18" x14ac:dyDescent="0.2">
      <c r="A911" s="7"/>
      <c r="B911" s="7"/>
      <c r="C911" s="7"/>
      <c r="D911" s="7"/>
      <c r="E911" s="7"/>
      <c r="F911" s="7"/>
      <c r="G911" s="163"/>
      <c r="H911" s="163"/>
      <c r="I911" s="7"/>
      <c r="J911" s="7"/>
      <c r="K911" s="7"/>
      <c r="L911" s="7"/>
      <c r="M911" s="7"/>
      <c r="N911" s="7"/>
      <c r="O911" s="7"/>
      <c r="P911" s="7"/>
      <c r="Q911" s="7"/>
      <c r="R911" s="7"/>
    </row>
    <row r="912" spans="1:18" x14ac:dyDescent="0.2">
      <c r="A912" s="7"/>
      <c r="B912" s="7"/>
      <c r="C912" s="7"/>
      <c r="D912" s="7"/>
      <c r="E912" s="7"/>
      <c r="F912" s="7"/>
      <c r="G912" s="37"/>
      <c r="H912" s="37"/>
      <c r="I912" s="7"/>
      <c r="J912" s="7"/>
      <c r="K912" s="7"/>
      <c r="L912" s="7"/>
      <c r="M912" s="7"/>
      <c r="N912" s="7"/>
      <c r="O912" s="7"/>
      <c r="P912" s="7"/>
      <c r="Q912" s="7"/>
      <c r="R912" s="7"/>
    </row>
    <row r="913" spans="1:18" x14ac:dyDescent="0.2">
      <c r="A913" s="7"/>
      <c r="B913" s="7"/>
      <c r="C913" s="7"/>
      <c r="D913" s="7"/>
      <c r="E913" s="7"/>
      <c r="F913" s="7"/>
      <c r="G913" s="168"/>
      <c r="H913" s="163"/>
      <c r="I913" s="7"/>
      <c r="J913" s="7"/>
      <c r="K913" s="7"/>
      <c r="L913" s="7"/>
      <c r="M913" s="7"/>
      <c r="N913" s="7"/>
      <c r="O913" s="7"/>
      <c r="P913" s="7"/>
      <c r="Q913" s="7"/>
      <c r="R913" s="7"/>
    </row>
    <row r="914" spans="1:18" x14ac:dyDescent="0.2">
      <c r="A914" s="7"/>
      <c r="B914" s="7"/>
      <c r="C914" s="7"/>
      <c r="D914" s="7"/>
      <c r="E914" s="7"/>
      <c r="F914" s="7"/>
      <c r="H914" s="37"/>
      <c r="I914" s="7"/>
      <c r="J914" s="7"/>
      <c r="K914" s="7"/>
      <c r="L914" s="7"/>
      <c r="M914" s="7"/>
      <c r="N914" s="7"/>
      <c r="O914" s="7"/>
      <c r="P914" s="7"/>
      <c r="Q914" s="7"/>
      <c r="R914" s="7"/>
    </row>
    <row r="915" spans="1:18" x14ac:dyDescent="0.2">
      <c r="A915" s="7"/>
      <c r="B915" s="7"/>
      <c r="C915" s="7"/>
      <c r="D915" s="7"/>
      <c r="E915" s="7"/>
      <c r="F915" s="7"/>
      <c r="G915" s="163"/>
      <c r="H915" s="163"/>
      <c r="I915" s="7"/>
      <c r="J915" s="7"/>
      <c r="K915" s="7"/>
      <c r="L915" s="7"/>
      <c r="M915" s="7"/>
      <c r="N915" s="7"/>
      <c r="O915" s="7"/>
      <c r="P915" s="7"/>
      <c r="Q915" s="7"/>
      <c r="R915" s="7"/>
    </row>
    <row r="916" spans="1:18" x14ac:dyDescent="0.2">
      <c r="A916" s="7"/>
      <c r="B916" s="7"/>
      <c r="C916" s="7"/>
      <c r="D916" s="7"/>
      <c r="E916" s="7"/>
      <c r="F916" s="7"/>
      <c r="G916" s="37"/>
      <c r="H916" s="37"/>
      <c r="I916" s="7"/>
      <c r="J916" s="7"/>
      <c r="K916" s="7"/>
      <c r="L916" s="7"/>
      <c r="M916" s="7"/>
      <c r="N916" s="7"/>
      <c r="O916" s="7"/>
      <c r="P916" s="7"/>
      <c r="Q916" s="7"/>
      <c r="R916" s="7"/>
    </row>
    <row r="917" spans="1:18" x14ac:dyDescent="0.2">
      <c r="A917" s="7"/>
      <c r="B917" s="7"/>
      <c r="C917" s="7"/>
      <c r="D917" s="7"/>
      <c r="E917" s="7"/>
      <c r="F917" s="7"/>
      <c r="G917" s="37"/>
      <c r="H917" s="37"/>
      <c r="I917" s="7"/>
      <c r="J917" s="7"/>
      <c r="K917" s="7"/>
      <c r="L917" s="7"/>
      <c r="M917" s="7"/>
      <c r="N917" s="7"/>
      <c r="O917" s="7"/>
      <c r="P917" s="7"/>
      <c r="Q917" s="7"/>
      <c r="R917" s="7"/>
    </row>
    <row r="918" spans="1:18" x14ac:dyDescent="0.2">
      <c r="A918" s="7"/>
      <c r="B918" s="7"/>
      <c r="C918" s="7"/>
      <c r="D918" s="7"/>
      <c r="E918" s="7"/>
      <c r="F918" s="7"/>
      <c r="G918" s="37"/>
      <c r="H918" s="37"/>
      <c r="I918" s="7"/>
      <c r="J918" s="7"/>
      <c r="K918" s="7"/>
      <c r="L918" s="7"/>
      <c r="M918" s="7"/>
      <c r="N918" s="7"/>
      <c r="O918" s="7"/>
      <c r="P918" s="7"/>
      <c r="Q918" s="7"/>
      <c r="R918" s="7"/>
    </row>
    <row r="919" spans="1:18" x14ac:dyDescent="0.2">
      <c r="A919" s="7"/>
      <c r="B919" s="7"/>
      <c r="C919" s="7"/>
      <c r="D919" s="7"/>
      <c r="E919" s="7"/>
      <c r="F919" s="7"/>
      <c r="G919" s="37"/>
      <c r="H919" s="37"/>
      <c r="I919" s="7"/>
      <c r="J919" s="7"/>
      <c r="K919" s="7"/>
      <c r="L919" s="7"/>
      <c r="M919" s="7"/>
      <c r="N919" s="7"/>
      <c r="O919" s="7"/>
      <c r="P919" s="7"/>
      <c r="Q919" s="7"/>
      <c r="R919" s="7"/>
    </row>
    <row r="920" spans="1:18" x14ac:dyDescent="0.2">
      <c r="A920" s="7"/>
      <c r="B920" s="7"/>
      <c r="C920" s="7"/>
      <c r="D920" s="7"/>
      <c r="E920" s="7"/>
      <c r="F920" s="7"/>
      <c r="G920" s="37"/>
      <c r="H920" s="37"/>
      <c r="I920" s="7"/>
      <c r="J920" s="7"/>
      <c r="K920" s="7"/>
      <c r="L920" s="7"/>
      <c r="M920" s="7"/>
      <c r="N920" s="7"/>
      <c r="O920" s="7"/>
      <c r="P920" s="7"/>
      <c r="Q920" s="7"/>
      <c r="R920" s="7"/>
    </row>
    <row r="921" spans="1:18" x14ac:dyDescent="0.2">
      <c r="A921" s="7"/>
      <c r="B921" s="7"/>
      <c r="C921" s="7"/>
      <c r="D921" s="7"/>
      <c r="E921" s="7"/>
      <c r="F921" s="7"/>
      <c r="G921" s="37"/>
      <c r="H921" s="37"/>
      <c r="I921" s="7"/>
      <c r="J921" s="7"/>
      <c r="K921" s="7"/>
      <c r="L921" s="7"/>
      <c r="M921" s="7"/>
      <c r="N921" s="7"/>
      <c r="O921" s="7"/>
      <c r="P921" s="7"/>
      <c r="Q921" s="7"/>
      <c r="R921" s="7"/>
    </row>
    <row r="922" spans="1:18" x14ac:dyDescent="0.2">
      <c r="A922" s="7"/>
      <c r="B922" s="7"/>
      <c r="C922" s="7"/>
      <c r="D922" s="7"/>
      <c r="E922" s="7"/>
      <c r="F922" s="7"/>
      <c r="G922" s="37"/>
      <c r="H922" s="37"/>
      <c r="I922" s="7"/>
      <c r="J922" s="7"/>
      <c r="K922" s="7"/>
      <c r="L922" s="7"/>
      <c r="M922" s="7"/>
      <c r="N922" s="7"/>
      <c r="O922" s="7"/>
      <c r="P922" s="7"/>
      <c r="Q922" s="7"/>
      <c r="R922" s="7"/>
    </row>
    <row r="923" spans="1:18" x14ac:dyDescent="0.2">
      <c r="A923" s="7"/>
      <c r="B923" s="7"/>
      <c r="C923" s="7"/>
      <c r="D923" s="7"/>
      <c r="E923" s="7"/>
      <c r="F923" s="7"/>
      <c r="G923" s="37"/>
      <c r="H923" s="37"/>
      <c r="I923" s="7"/>
      <c r="J923" s="7"/>
      <c r="K923" s="7"/>
      <c r="L923" s="7"/>
      <c r="M923" s="7"/>
      <c r="N923" s="7"/>
      <c r="O923" s="7"/>
      <c r="P923" s="7"/>
      <c r="Q923" s="7"/>
      <c r="R923" s="7"/>
    </row>
    <row r="924" spans="1:18" x14ac:dyDescent="0.2">
      <c r="A924" s="7"/>
      <c r="B924" s="7"/>
      <c r="C924" s="7"/>
      <c r="D924" s="7"/>
      <c r="E924" s="7"/>
      <c r="F924" s="7"/>
      <c r="G924" s="37"/>
      <c r="H924" s="37"/>
      <c r="I924" s="7"/>
      <c r="J924" s="7"/>
      <c r="K924" s="7"/>
      <c r="L924" s="7"/>
      <c r="M924" s="7"/>
      <c r="N924" s="7"/>
      <c r="O924" s="7"/>
      <c r="P924" s="7"/>
      <c r="Q924" s="7"/>
      <c r="R924" s="7"/>
    </row>
    <row r="925" spans="1:18" x14ac:dyDescent="0.2">
      <c r="A925" s="7"/>
      <c r="B925" s="7"/>
      <c r="C925" s="7"/>
      <c r="D925" s="7"/>
      <c r="E925" s="7"/>
      <c r="F925" s="7"/>
      <c r="G925" s="37"/>
      <c r="H925" s="37"/>
      <c r="I925" s="7"/>
      <c r="J925" s="7"/>
      <c r="K925" s="7"/>
      <c r="L925" s="7"/>
      <c r="M925" s="7"/>
      <c r="N925" s="7"/>
      <c r="O925" s="7"/>
      <c r="P925" s="7"/>
      <c r="Q925" s="7"/>
      <c r="R925" s="7"/>
    </row>
    <row r="926" spans="1:18" x14ac:dyDescent="0.2">
      <c r="A926" s="7"/>
      <c r="B926" s="7"/>
      <c r="C926" s="7"/>
      <c r="D926" s="7"/>
      <c r="E926" s="7"/>
      <c r="F926" s="7"/>
      <c r="G926" s="37"/>
      <c r="H926" s="37"/>
      <c r="I926" s="7"/>
      <c r="J926" s="7"/>
      <c r="K926" s="7"/>
      <c r="L926" s="7"/>
      <c r="M926" s="7"/>
      <c r="N926" s="7"/>
      <c r="O926" s="7"/>
      <c r="P926" s="7"/>
      <c r="Q926" s="7"/>
      <c r="R926" s="7"/>
    </row>
    <row r="927" spans="1:18" x14ac:dyDescent="0.2">
      <c r="A927" s="7"/>
      <c r="B927" s="7"/>
      <c r="C927" s="7"/>
      <c r="D927" s="7"/>
      <c r="E927" s="7"/>
      <c r="F927" s="7"/>
      <c r="G927" s="37"/>
      <c r="H927" s="37"/>
      <c r="I927" s="7"/>
      <c r="J927" s="7"/>
      <c r="K927" s="7"/>
      <c r="L927" s="7"/>
      <c r="M927" s="7"/>
      <c r="N927" s="7"/>
      <c r="O927" s="7"/>
      <c r="P927" s="7"/>
      <c r="Q927" s="7"/>
      <c r="R927" s="7"/>
    </row>
    <row r="928" spans="1:18" x14ac:dyDescent="0.2">
      <c r="A928" s="7"/>
      <c r="B928" s="7"/>
      <c r="C928" s="7"/>
      <c r="D928" s="7"/>
      <c r="E928" s="7"/>
      <c r="F928" s="7"/>
      <c r="G928" s="37"/>
      <c r="H928" s="37"/>
      <c r="I928" s="7"/>
      <c r="J928" s="7"/>
      <c r="K928" s="7"/>
      <c r="L928" s="7"/>
      <c r="M928" s="7"/>
      <c r="N928" s="7"/>
      <c r="O928" s="7"/>
      <c r="P928" s="7"/>
      <c r="Q928" s="7"/>
      <c r="R928" s="7"/>
    </row>
    <row r="929" spans="1:18" x14ac:dyDescent="0.2">
      <c r="A929" s="7"/>
      <c r="B929" s="7"/>
      <c r="C929" s="7"/>
      <c r="D929" s="7"/>
      <c r="E929" s="7"/>
      <c r="F929" s="7"/>
      <c r="G929" s="37"/>
      <c r="H929" s="37"/>
      <c r="I929" s="7"/>
      <c r="J929" s="7"/>
      <c r="K929" s="7"/>
      <c r="L929" s="7"/>
      <c r="M929" s="7"/>
      <c r="N929" s="7"/>
      <c r="O929" s="7"/>
      <c r="P929" s="7"/>
      <c r="Q929" s="7"/>
      <c r="R929" s="7"/>
    </row>
    <row r="930" spans="1:18" x14ac:dyDescent="0.2">
      <c r="A930" s="7"/>
      <c r="B930" s="7"/>
      <c r="C930" s="7"/>
      <c r="D930" s="7"/>
      <c r="E930" s="7"/>
      <c r="F930" s="7"/>
      <c r="G930" s="37"/>
      <c r="H930" s="37"/>
      <c r="I930" s="7"/>
      <c r="J930" s="7"/>
      <c r="K930" s="7"/>
      <c r="L930" s="7"/>
      <c r="M930" s="7"/>
      <c r="N930" s="7"/>
      <c r="O930" s="7"/>
      <c r="P930" s="7"/>
      <c r="Q930" s="7"/>
      <c r="R930" s="7"/>
    </row>
    <row r="931" spans="1:18" x14ac:dyDescent="0.2">
      <c r="A931" s="7"/>
      <c r="B931" s="7"/>
      <c r="C931" s="7"/>
      <c r="D931" s="7"/>
      <c r="E931" s="7"/>
      <c r="F931" s="7"/>
      <c r="G931" s="37"/>
      <c r="H931" s="37"/>
      <c r="I931" s="7"/>
      <c r="J931" s="7"/>
      <c r="K931" s="7"/>
      <c r="L931" s="7"/>
      <c r="M931" s="7"/>
      <c r="N931" s="7"/>
      <c r="O931" s="7"/>
      <c r="P931" s="7"/>
      <c r="Q931" s="7"/>
      <c r="R931" s="7"/>
    </row>
    <row r="932" spans="1:18" x14ac:dyDescent="0.2">
      <c r="A932" s="7"/>
      <c r="B932" s="7"/>
      <c r="C932" s="7"/>
      <c r="D932" s="7"/>
      <c r="E932" s="7"/>
      <c r="F932" s="7"/>
      <c r="G932" s="37"/>
      <c r="H932" s="37"/>
      <c r="I932" s="7"/>
      <c r="J932" s="7"/>
      <c r="K932" s="7"/>
      <c r="L932" s="7"/>
      <c r="M932" s="7"/>
      <c r="N932" s="7"/>
      <c r="O932" s="7"/>
      <c r="P932" s="7"/>
      <c r="Q932" s="7"/>
      <c r="R932" s="7"/>
    </row>
    <row r="933" spans="1:18" x14ac:dyDescent="0.2">
      <c r="A933" s="7"/>
      <c r="B933" s="7"/>
      <c r="C933" s="7"/>
      <c r="D933" s="7"/>
      <c r="E933" s="7"/>
      <c r="F933" s="7"/>
      <c r="G933" s="37"/>
      <c r="H933" s="37"/>
      <c r="I933" s="7"/>
      <c r="J933" s="7"/>
      <c r="K933" s="7"/>
      <c r="L933" s="7"/>
      <c r="M933" s="7"/>
      <c r="N933" s="7"/>
      <c r="O933" s="7"/>
      <c r="P933" s="7"/>
      <c r="Q933" s="7"/>
      <c r="R933" s="7"/>
    </row>
    <row r="934" spans="1:18" x14ac:dyDescent="0.2">
      <c r="A934" s="7"/>
      <c r="B934" s="7"/>
      <c r="C934" s="7"/>
      <c r="D934" s="7"/>
      <c r="E934" s="7"/>
      <c r="F934" s="7"/>
      <c r="G934" s="37"/>
      <c r="H934" s="37"/>
      <c r="I934" s="7"/>
      <c r="J934" s="7"/>
      <c r="K934" s="7"/>
      <c r="L934" s="7"/>
      <c r="M934" s="7"/>
      <c r="N934" s="7"/>
      <c r="O934" s="7"/>
      <c r="P934" s="7"/>
      <c r="Q934" s="7"/>
      <c r="R934" s="7"/>
    </row>
    <row r="935" spans="1:18" x14ac:dyDescent="0.2">
      <c r="A935" s="7"/>
      <c r="B935" s="7"/>
      <c r="C935" s="7"/>
      <c r="D935" s="7"/>
      <c r="E935" s="7"/>
      <c r="F935" s="7"/>
      <c r="G935" s="37"/>
      <c r="H935" s="37"/>
      <c r="I935" s="7"/>
      <c r="J935" s="7"/>
      <c r="K935" s="7"/>
      <c r="L935" s="7"/>
      <c r="M935" s="7"/>
      <c r="N935" s="7"/>
      <c r="O935" s="7"/>
      <c r="P935" s="7"/>
      <c r="Q935" s="7"/>
      <c r="R935" s="7"/>
    </row>
    <row r="936" spans="1:18" x14ac:dyDescent="0.2">
      <c r="A936" s="7"/>
      <c r="B936" s="7"/>
      <c r="C936" s="7"/>
      <c r="D936" s="7"/>
      <c r="E936" s="7"/>
      <c r="F936" s="7"/>
      <c r="G936" s="37"/>
      <c r="H936" s="37"/>
      <c r="I936" s="7"/>
      <c r="J936" s="7"/>
      <c r="K936" s="7"/>
      <c r="L936" s="7"/>
      <c r="M936" s="7"/>
      <c r="N936" s="7"/>
      <c r="O936" s="7"/>
      <c r="P936" s="7"/>
      <c r="Q936" s="7"/>
      <c r="R936" s="7"/>
    </row>
    <row r="937" spans="1:18" x14ac:dyDescent="0.2">
      <c r="A937" s="7"/>
      <c r="B937" s="7"/>
      <c r="C937" s="7"/>
      <c r="D937" s="7"/>
      <c r="E937" s="7"/>
      <c r="F937" s="7"/>
      <c r="G937" s="37"/>
      <c r="H937" s="37"/>
      <c r="I937" s="7"/>
      <c r="J937" s="7"/>
      <c r="K937" s="7"/>
      <c r="L937" s="7"/>
      <c r="M937" s="7"/>
      <c r="N937" s="7"/>
      <c r="O937" s="7"/>
      <c r="P937" s="7"/>
      <c r="Q937" s="7"/>
      <c r="R937" s="7"/>
    </row>
    <row r="938" spans="1:18" x14ac:dyDescent="0.2">
      <c r="A938" s="7"/>
      <c r="B938" s="7"/>
      <c r="C938" s="7"/>
      <c r="D938" s="7"/>
      <c r="E938" s="7"/>
      <c r="F938" s="7"/>
      <c r="G938" s="37"/>
      <c r="H938" s="37"/>
      <c r="I938" s="7"/>
      <c r="J938" s="7"/>
      <c r="K938" s="7"/>
      <c r="L938" s="7"/>
      <c r="M938" s="7"/>
      <c r="N938" s="7"/>
      <c r="O938" s="7"/>
      <c r="P938" s="7"/>
      <c r="Q938" s="7"/>
      <c r="R938" s="7"/>
    </row>
    <row r="939" spans="1:18" x14ac:dyDescent="0.2">
      <c r="A939" s="7"/>
      <c r="B939" s="7"/>
      <c r="C939" s="7"/>
      <c r="D939" s="7"/>
      <c r="E939" s="7"/>
      <c r="F939" s="7"/>
      <c r="G939" s="37"/>
      <c r="H939" s="37"/>
      <c r="I939" s="7"/>
      <c r="J939" s="7"/>
      <c r="K939" s="7"/>
      <c r="L939" s="7"/>
      <c r="M939" s="7"/>
      <c r="N939" s="7"/>
      <c r="O939" s="7"/>
      <c r="P939" s="7"/>
      <c r="Q939" s="7"/>
      <c r="R939" s="7"/>
    </row>
    <row r="940" spans="1:18" x14ac:dyDescent="0.2">
      <c r="A940" s="7"/>
      <c r="B940" s="7"/>
      <c r="C940" s="7"/>
      <c r="D940" s="7"/>
      <c r="E940" s="7"/>
      <c r="F940" s="7"/>
      <c r="G940" s="37"/>
      <c r="H940" s="37"/>
      <c r="I940" s="7"/>
      <c r="J940" s="7"/>
      <c r="K940" s="7"/>
      <c r="L940" s="7"/>
      <c r="M940" s="7"/>
      <c r="N940" s="7"/>
      <c r="O940" s="7"/>
      <c r="P940" s="7"/>
      <c r="Q940" s="7"/>
      <c r="R940" s="7"/>
    </row>
    <row r="941" spans="1:18" x14ac:dyDescent="0.2">
      <c r="A941" s="7"/>
      <c r="B941" s="7"/>
      <c r="C941" s="7"/>
      <c r="D941" s="7"/>
      <c r="E941" s="7"/>
      <c r="F941" s="7"/>
      <c r="G941" s="37"/>
      <c r="H941" s="37"/>
      <c r="I941" s="7"/>
      <c r="J941" s="7"/>
      <c r="K941" s="7"/>
      <c r="L941" s="7"/>
      <c r="M941" s="7"/>
      <c r="N941" s="7"/>
      <c r="O941" s="7"/>
      <c r="P941" s="7"/>
      <c r="Q941" s="7"/>
      <c r="R941" s="7"/>
    </row>
    <row r="942" spans="1:18" x14ac:dyDescent="0.2">
      <c r="A942" s="7"/>
      <c r="B942" s="7"/>
      <c r="C942" s="7"/>
      <c r="D942" s="7"/>
      <c r="E942" s="7"/>
      <c r="F942" s="7"/>
      <c r="G942" s="37"/>
      <c r="H942" s="37"/>
      <c r="I942" s="7"/>
      <c r="J942" s="7"/>
      <c r="K942" s="7"/>
      <c r="L942" s="7"/>
      <c r="M942" s="7"/>
      <c r="N942" s="7"/>
      <c r="O942" s="7"/>
      <c r="P942" s="7"/>
      <c r="Q942" s="7"/>
      <c r="R942" s="7"/>
    </row>
    <row r="943" spans="1:18" x14ac:dyDescent="0.2">
      <c r="A943" s="7"/>
      <c r="B943" s="7"/>
      <c r="C943" s="7"/>
      <c r="D943" s="7"/>
      <c r="E943" s="7"/>
      <c r="F943" s="7"/>
      <c r="G943" s="37"/>
      <c r="H943" s="37"/>
      <c r="I943" s="7"/>
      <c r="J943" s="7"/>
      <c r="K943" s="7"/>
      <c r="L943" s="7"/>
      <c r="M943" s="7"/>
      <c r="N943" s="7"/>
      <c r="O943" s="7"/>
      <c r="P943" s="7"/>
      <c r="Q943" s="7"/>
      <c r="R943" s="7"/>
    </row>
    <row r="944" spans="1:18" x14ac:dyDescent="0.2">
      <c r="A944" s="7"/>
      <c r="B944" s="7"/>
      <c r="C944" s="7"/>
      <c r="D944" s="7"/>
      <c r="E944" s="7"/>
      <c r="F944" s="7"/>
      <c r="G944" s="37"/>
      <c r="H944" s="37"/>
      <c r="I944" s="7"/>
      <c r="J944" s="7"/>
      <c r="K944" s="7"/>
      <c r="L944" s="7"/>
      <c r="M944" s="7"/>
      <c r="N944" s="7"/>
      <c r="O944" s="7"/>
      <c r="P944" s="7"/>
      <c r="Q944" s="7"/>
      <c r="R944" s="7"/>
    </row>
    <row r="945" spans="1:18" x14ac:dyDescent="0.2">
      <c r="A945" s="7"/>
      <c r="B945" s="7"/>
      <c r="C945" s="7"/>
      <c r="D945" s="7"/>
      <c r="E945" s="7"/>
      <c r="F945" s="7"/>
      <c r="G945" s="37"/>
      <c r="H945" s="37"/>
      <c r="I945" s="7"/>
      <c r="J945" s="7"/>
      <c r="K945" s="7"/>
      <c r="L945" s="7"/>
      <c r="M945" s="7"/>
      <c r="N945" s="7"/>
      <c r="O945" s="7"/>
      <c r="P945" s="7"/>
      <c r="Q945" s="7"/>
      <c r="R945" s="7"/>
    </row>
    <row r="946" spans="1:18" x14ac:dyDescent="0.2">
      <c r="A946" s="7"/>
      <c r="B946" s="7"/>
      <c r="C946" s="7"/>
      <c r="D946" s="7"/>
      <c r="E946" s="7"/>
      <c r="F946" s="7"/>
      <c r="G946" s="37"/>
      <c r="H946" s="37"/>
      <c r="I946" s="7"/>
      <c r="J946" s="7"/>
      <c r="K946" s="7"/>
      <c r="L946" s="7"/>
      <c r="M946" s="7"/>
      <c r="N946" s="7"/>
      <c r="O946" s="7"/>
      <c r="P946" s="7"/>
      <c r="Q946" s="7"/>
      <c r="R946" s="7"/>
    </row>
    <row r="947" spans="1:18" x14ac:dyDescent="0.2">
      <c r="A947" s="7"/>
      <c r="B947" s="7"/>
      <c r="C947" s="7"/>
      <c r="D947" s="7"/>
      <c r="E947" s="7"/>
      <c r="F947" s="7"/>
      <c r="G947" s="37"/>
      <c r="H947" s="37"/>
      <c r="I947" s="7"/>
      <c r="J947" s="7"/>
      <c r="K947" s="7"/>
      <c r="L947" s="7"/>
      <c r="M947" s="7"/>
      <c r="N947" s="7"/>
      <c r="O947" s="7"/>
      <c r="P947" s="7"/>
      <c r="Q947" s="7"/>
      <c r="R947" s="7"/>
    </row>
    <row r="948" spans="1:18" x14ac:dyDescent="0.2">
      <c r="A948" s="7"/>
      <c r="B948" s="7"/>
      <c r="C948" s="7"/>
      <c r="D948" s="7"/>
      <c r="E948" s="7"/>
      <c r="F948" s="7"/>
      <c r="G948" s="37"/>
      <c r="H948" s="37"/>
      <c r="I948" s="7"/>
      <c r="J948" s="7"/>
      <c r="K948" s="7"/>
      <c r="L948" s="7"/>
      <c r="M948" s="7"/>
      <c r="N948" s="7"/>
      <c r="O948" s="7"/>
      <c r="P948" s="7"/>
      <c r="Q948" s="7"/>
      <c r="R948" s="7"/>
    </row>
    <row r="949" spans="1:18" x14ac:dyDescent="0.2">
      <c r="A949" s="7"/>
      <c r="B949" s="7"/>
      <c r="C949" s="7"/>
      <c r="D949" s="7"/>
      <c r="E949" s="7"/>
      <c r="F949" s="7"/>
      <c r="G949" s="37"/>
      <c r="H949" s="37"/>
      <c r="I949" s="7"/>
      <c r="J949" s="7"/>
      <c r="K949" s="7"/>
      <c r="L949" s="7"/>
      <c r="M949" s="7"/>
      <c r="N949" s="7"/>
      <c r="O949" s="7"/>
      <c r="P949" s="7"/>
      <c r="Q949" s="7"/>
      <c r="R949" s="7"/>
    </row>
    <row r="950" spans="1:18" x14ac:dyDescent="0.2">
      <c r="A950" s="7"/>
      <c r="B950" s="7"/>
      <c r="C950" s="7"/>
      <c r="D950" s="7"/>
      <c r="E950" s="7"/>
      <c r="F950" s="7"/>
      <c r="G950" s="37"/>
      <c r="H950" s="37"/>
      <c r="I950" s="7"/>
      <c r="J950" s="7"/>
      <c r="K950" s="7"/>
      <c r="L950" s="7"/>
      <c r="M950" s="7"/>
      <c r="N950" s="7"/>
      <c r="O950" s="7"/>
      <c r="P950" s="7"/>
      <c r="Q950" s="7"/>
      <c r="R950" s="7"/>
    </row>
    <row r="951" spans="1:18" x14ac:dyDescent="0.2">
      <c r="A951" s="7"/>
      <c r="B951" s="7"/>
      <c r="C951" s="7"/>
      <c r="D951" s="7"/>
      <c r="E951" s="7"/>
      <c r="F951" s="7"/>
      <c r="G951" s="37"/>
      <c r="H951" s="37"/>
      <c r="I951" s="7"/>
      <c r="J951" s="7"/>
      <c r="K951" s="7"/>
      <c r="L951" s="7"/>
      <c r="M951" s="7"/>
      <c r="N951" s="7"/>
      <c r="O951" s="7"/>
      <c r="P951" s="7"/>
      <c r="Q951" s="7"/>
      <c r="R951" s="7"/>
    </row>
    <row r="952" spans="1:18" x14ac:dyDescent="0.2">
      <c r="A952" s="7"/>
      <c r="B952" s="7"/>
      <c r="C952" s="7"/>
      <c r="D952" s="7"/>
      <c r="E952" s="7"/>
      <c r="F952" s="7"/>
      <c r="G952" s="37"/>
      <c r="H952" s="37"/>
      <c r="I952" s="7"/>
      <c r="J952" s="7"/>
      <c r="K952" s="7"/>
      <c r="L952" s="7"/>
      <c r="M952" s="7"/>
      <c r="N952" s="7"/>
      <c r="O952" s="7"/>
      <c r="P952" s="7"/>
      <c r="Q952" s="7"/>
      <c r="R952" s="7"/>
    </row>
    <row r="953" spans="1:18" x14ac:dyDescent="0.2">
      <c r="A953" s="7"/>
      <c r="B953" s="7"/>
      <c r="C953" s="7"/>
      <c r="D953" s="7"/>
      <c r="E953" s="7"/>
      <c r="F953" s="7"/>
      <c r="G953" s="37"/>
      <c r="H953" s="37"/>
      <c r="I953" s="7"/>
      <c r="J953" s="7"/>
      <c r="K953" s="7"/>
      <c r="L953" s="7"/>
      <c r="M953" s="7"/>
      <c r="N953" s="7"/>
      <c r="O953" s="7"/>
      <c r="P953" s="7"/>
      <c r="Q953" s="7"/>
      <c r="R953" s="7"/>
    </row>
    <row r="954" spans="1:18" x14ac:dyDescent="0.2">
      <c r="A954" s="7"/>
      <c r="B954" s="7"/>
      <c r="C954" s="7"/>
      <c r="D954" s="7"/>
      <c r="E954" s="7"/>
      <c r="F954" s="7"/>
      <c r="G954" s="37"/>
      <c r="H954" s="37"/>
      <c r="I954" s="7"/>
      <c r="J954" s="7"/>
      <c r="K954" s="7"/>
      <c r="L954" s="7"/>
      <c r="M954" s="7"/>
      <c r="N954" s="7"/>
      <c r="O954" s="7"/>
      <c r="P954" s="7"/>
      <c r="Q954" s="7"/>
      <c r="R954" s="7"/>
    </row>
    <row r="955" spans="1:18" x14ac:dyDescent="0.2">
      <c r="A955" s="7"/>
      <c r="B955" s="7"/>
      <c r="C955" s="7"/>
      <c r="D955" s="7"/>
      <c r="E955" s="7"/>
      <c r="F955" s="7"/>
      <c r="G955" s="106"/>
      <c r="H955" s="37"/>
      <c r="I955" s="7"/>
      <c r="J955" s="7"/>
      <c r="K955" s="7"/>
      <c r="L955" s="7"/>
      <c r="M955" s="7"/>
      <c r="N955" s="7"/>
      <c r="O955" s="7"/>
      <c r="P955" s="7"/>
      <c r="Q955" s="7"/>
      <c r="R955" s="7"/>
    </row>
    <row r="956" spans="1:18" x14ac:dyDescent="0.2">
      <c r="A956" s="7"/>
      <c r="B956" s="7"/>
      <c r="C956" s="7"/>
      <c r="D956" s="7"/>
      <c r="E956" s="7"/>
      <c r="F956" s="7"/>
      <c r="G956" s="163"/>
      <c r="H956" s="163"/>
      <c r="I956" s="7"/>
      <c r="J956" s="7"/>
      <c r="K956" s="7"/>
      <c r="L956" s="7"/>
      <c r="M956" s="7"/>
      <c r="N956" s="7"/>
      <c r="O956" s="7"/>
      <c r="P956" s="7"/>
      <c r="Q956" s="7"/>
      <c r="R956" s="7"/>
    </row>
    <row r="957" spans="1:18" x14ac:dyDescent="0.2">
      <c r="A957" s="7"/>
      <c r="B957" s="7"/>
      <c r="C957" s="7"/>
      <c r="D957" s="7"/>
      <c r="E957" s="7"/>
      <c r="F957" s="7"/>
      <c r="G957" s="163"/>
      <c r="H957" s="37"/>
      <c r="I957" s="7"/>
      <c r="J957" s="7"/>
      <c r="K957" s="7"/>
      <c r="L957" s="7"/>
      <c r="M957" s="7"/>
      <c r="N957" s="7"/>
      <c r="O957" s="7"/>
      <c r="P957" s="7"/>
      <c r="Q957" s="7"/>
      <c r="R957" s="7"/>
    </row>
    <row r="958" spans="1:18" x14ac:dyDescent="0.2">
      <c r="A958" s="7"/>
      <c r="B958" s="7"/>
      <c r="C958" s="7"/>
      <c r="D958" s="7"/>
      <c r="E958" s="7"/>
      <c r="F958" s="7"/>
      <c r="G958" s="37"/>
      <c r="H958" s="37"/>
      <c r="I958" s="7"/>
      <c r="J958" s="7"/>
      <c r="K958" s="7"/>
      <c r="L958" s="7"/>
      <c r="M958" s="7"/>
      <c r="N958" s="7"/>
      <c r="O958" s="7"/>
      <c r="P958" s="7"/>
      <c r="Q958" s="7"/>
      <c r="R958" s="7"/>
    </row>
    <row r="959" spans="1:18" x14ac:dyDescent="0.2">
      <c r="A959" s="7"/>
      <c r="B959" s="7"/>
      <c r="C959" s="7"/>
      <c r="D959" s="7"/>
      <c r="E959" s="7"/>
      <c r="F959" s="7"/>
      <c r="G959" s="37"/>
      <c r="H959" s="37"/>
      <c r="I959" s="7"/>
      <c r="J959" s="7"/>
      <c r="K959" s="7"/>
      <c r="L959" s="7"/>
      <c r="M959" s="7"/>
      <c r="N959" s="7"/>
      <c r="O959" s="7"/>
      <c r="P959" s="7"/>
      <c r="Q959" s="7"/>
      <c r="R959" s="7"/>
    </row>
    <row r="960" spans="1:18" x14ac:dyDescent="0.2">
      <c r="A960" s="7"/>
      <c r="B960" s="7"/>
      <c r="C960" s="7"/>
      <c r="D960" s="7"/>
      <c r="E960" s="7"/>
      <c r="F960" s="7"/>
      <c r="G960" s="37"/>
      <c r="H960" s="37"/>
      <c r="I960" s="7"/>
      <c r="J960" s="7"/>
      <c r="K960" s="7"/>
      <c r="L960" s="7"/>
      <c r="M960" s="7"/>
      <c r="N960" s="7"/>
      <c r="O960" s="7"/>
      <c r="P960" s="7"/>
      <c r="Q960" s="7"/>
      <c r="R960" s="7"/>
    </row>
    <row r="961" spans="1:18" x14ac:dyDescent="0.2">
      <c r="A961" s="7"/>
      <c r="B961" s="7"/>
      <c r="C961" s="7"/>
      <c r="D961" s="7"/>
      <c r="E961" s="7"/>
      <c r="F961" s="7"/>
      <c r="G961" s="37"/>
      <c r="H961" s="37"/>
      <c r="I961" s="7"/>
      <c r="J961" s="7"/>
      <c r="K961" s="7"/>
      <c r="L961" s="7"/>
      <c r="M961" s="7"/>
      <c r="N961" s="7"/>
      <c r="O961" s="7"/>
      <c r="P961" s="7"/>
      <c r="Q961" s="7"/>
      <c r="R961" s="7"/>
    </row>
    <row r="962" spans="1:18" x14ac:dyDescent="0.2">
      <c r="A962" s="7"/>
      <c r="B962" s="7"/>
      <c r="C962" s="7"/>
      <c r="D962" s="7"/>
      <c r="E962" s="7"/>
      <c r="F962" s="7"/>
      <c r="G962" s="37"/>
      <c r="H962" s="37"/>
      <c r="I962" s="7"/>
      <c r="J962" s="7"/>
      <c r="K962" s="7"/>
      <c r="L962" s="7"/>
      <c r="M962" s="7"/>
      <c r="N962" s="7"/>
      <c r="O962" s="7"/>
      <c r="P962" s="7"/>
      <c r="Q962" s="7"/>
      <c r="R962" s="7"/>
    </row>
    <row r="963" spans="1:18" x14ac:dyDescent="0.2">
      <c r="A963" s="7"/>
      <c r="B963" s="7"/>
      <c r="C963" s="7"/>
      <c r="D963" s="7"/>
      <c r="E963" s="7"/>
      <c r="F963" s="7"/>
      <c r="G963" s="37"/>
      <c r="H963" s="37"/>
      <c r="I963" s="7"/>
      <c r="J963" s="7"/>
      <c r="K963" s="7"/>
      <c r="L963" s="7"/>
      <c r="M963" s="7"/>
      <c r="N963" s="7"/>
      <c r="O963" s="7"/>
      <c r="P963" s="7"/>
      <c r="Q963" s="7"/>
      <c r="R963" s="7"/>
    </row>
    <row r="964" spans="1:18" x14ac:dyDescent="0.2">
      <c r="A964" s="7"/>
      <c r="B964" s="7"/>
      <c r="C964" s="7"/>
      <c r="D964" s="7"/>
      <c r="E964" s="7"/>
      <c r="F964" s="7"/>
      <c r="G964" s="37"/>
      <c r="H964" s="37"/>
      <c r="I964" s="7"/>
      <c r="J964" s="7"/>
      <c r="K964" s="7"/>
      <c r="L964" s="7"/>
      <c r="M964" s="7"/>
      <c r="N964" s="7"/>
      <c r="O964" s="7"/>
      <c r="P964" s="7"/>
      <c r="Q964" s="7"/>
      <c r="R964" s="7"/>
    </row>
    <row r="965" spans="1:18" x14ac:dyDescent="0.2">
      <c r="A965" s="7"/>
      <c r="B965" s="7"/>
      <c r="C965" s="7"/>
      <c r="D965" s="7"/>
      <c r="E965" s="7"/>
      <c r="F965" s="7"/>
      <c r="G965" s="37"/>
      <c r="H965" s="37"/>
      <c r="I965" s="7"/>
      <c r="J965" s="7"/>
      <c r="K965" s="7"/>
      <c r="L965" s="7"/>
      <c r="M965" s="7"/>
      <c r="N965" s="7"/>
      <c r="O965" s="7"/>
      <c r="P965" s="7"/>
      <c r="Q965" s="7"/>
      <c r="R965" s="7"/>
    </row>
    <row r="966" spans="1:18" x14ac:dyDescent="0.2">
      <c r="A966" s="7"/>
      <c r="B966" s="7"/>
      <c r="C966" s="7"/>
      <c r="D966" s="7"/>
      <c r="E966" s="7"/>
      <c r="F966" s="7"/>
      <c r="G966" s="37"/>
      <c r="H966" s="37"/>
      <c r="I966" s="7"/>
      <c r="J966" s="7"/>
      <c r="K966" s="7"/>
      <c r="L966" s="7"/>
      <c r="M966" s="7"/>
      <c r="N966" s="7"/>
      <c r="O966" s="7"/>
      <c r="P966" s="7"/>
      <c r="Q966" s="7"/>
      <c r="R966" s="7"/>
    </row>
    <row r="967" spans="1:18" x14ac:dyDescent="0.2">
      <c r="A967" s="7"/>
      <c r="B967" s="7"/>
      <c r="C967" s="7"/>
      <c r="D967" s="7"/>
      <c r="E967" s="7"/>
      <c r="F967" s="7"/>
      <c r="G967" s="37"/>
      <c r="H967" s="37"/>
      <c r="I967" s="7"/>
      <c r="J967" s="7"/>
      <c r="K967" s="7"/>
      <c r="L967" s="7"/>
      <c r="M967" s="7"/>
      <c r="N967" s="7"/>
      <c r="O967" s="7"/>
      <c r="P967" s="7"/>
      <c r="Q967" s="7"/>
      <c r="R967" s="7"/>
    </row>
    <row r="968" spans="1:18" x14ac:dyDescent="0.2">
      <c r="A968" s="7"/>
      <c r="B968" s="7"/>
      <c r="C968" s="7"/>
      <c r="D968" s="7"/>
      <c r="E968" s="7"/>
      <c r="F968" s="7"/>
      <c r="G968" s="37"/>
      <c r="H968" s="37"/>
      <c r="I968" s="7"/>
      <c r="J968" s="7"/>
      <c r="K968" s="7"/>
      <c r="L968" s="7"/>
      <c r="M968" s="7"/>
      <c r="N968" s="7"/>
      <c r="O968" s="7"/>
      <c r="P968" s="7"/>
      <c r="Q968" s="7"/>
      <c r="R968" s="7"/>
    </row>
    <row r="969" spans="1:18" x14ac:dyDescent="0.2">
      <c r="A969" s="7"/>
      <c r="B969" s="7"/>
      <c r="C969" s="7"/>
      <c r="D969" s="7"/>
      <c r="E969" s="7"/>
      <c r="F969" s="7"/>
      <c r="G969" s="37"/>
      <c r="H969" s="37"/>
      <c r="I969" s="7"/>
      <c r="J969" s="7"/>
      <c r="K969" s="7"/>
      <c r="L969" s="7"/>
      <c r="M969" s="7"/>
      <c r="N969" s="7"/>
      <c r="O969" s="7"/>
      <c r="P969" s="7"/>
      <c r="Q969" s="7"/>
      <c r="R969" s="7"/>
    </row>
    <row r="970" spans="1:18" x14ac:dyDescent="0.2">
      <c r="A970" s="7"/>
      <c r="B970" s="7"/>
      <c r="C970" s="7"/>
      <c r="D970" s="7"/>
      <c r="E970" s="7"/>
      <c r="F970" s="7"/>
      <c r="G970" s="37"/>
      <c r="H970" s="37"/>
      <c r="I970" s="7"/>
      <c r="J970" s="7"/>
      <c r="K970" s="7"/>
      <c r="L970" s="7"/>
      <c r="M970" s="7"/>
      <c r="N970" s="7"/>
      <c r="O970" s="7"/>
      <c r="P970" s="7"/>
      <c r="Q970" s="7"/>
      <c r="R970" s="7"/>
    </row>
    <row r="971" spans="1:18" x14ac:dyDescent="0.2">
      <c r="A971" s="7"/>
      <c r="B971" s="7"/>
      <c r="C971" s="7"/>
      <c r="D971" s="7"/>
      <c r="E971" s="7"/>
      <c r="F971" s="7"/>
      <c r="G971" s="37"/>
      <c r="H971" s="37"/>
      <c r="I971" s="7"/>
      <c r="J971" s="7"/>
      <c r="K971" s="7"/>
      <c r="L971" s="7"/>
      <c r="M971" s="7"/>
      <c r="N971" s="7"/>
      <c r="O971" s="7"/>
      <c r="P971" s="7"/>
      <c r="Q971" s="7"/>
      <c r="R971" s="7"/>
    </row>
    <row r="972" spans="1:18" x14ac:dyDescent="0.2">
      <c r="A972" s="7"/>
      <c r="B972" s="7"/>
      <c r="C972" s="7"/>
      <c r="D972" s="7"/>
      <c r="E972" s="7"/>
      <c r="F972" s="7"/>
      <c r="G972" s="37"/>
      <c r="H972" s="37"/>
      <c r="I972" s="7"/>
      <c r="J972" s="7"/>
      <c r="K972" s="7"/>
      <c r="L972" s="7"/>
      <c r="M972" s="7"/>
      <c r="N972" s="7"/>
      <c r="O972" s="7"/>
      <c r="P972" s="7"/>
      <c r="Q972" s="7"/>
      <c r="R972" s="7"/>
    </row>
    <row r="973" spans="1:18" x14ac:dyDescent="0.2">
      <c r="A973" s="7"/>
      <c r="B973" s="7"/>
      <c r="C973" s="7"/>
      <c r="D973" s="7"/>
      <c r="E973" s="7"/>
      <c r="F973" s="7"/>
      <c r="G973" s="37"/>
      <c r="H973" s="37"/>
      <c r="I973" s="7"/>
      <c r="J973" s="7"/>
      <c r="K973" s="7"/>
      <c r="L973" s="7"/>
      <c r="M973" s="7"/>
      <c r="N973" s="7"/>
      <c r="O973" s="7"/>
      <c r="P973" s="7"/>
      <c r="Q973" s="7"/>
      <c r="R973" s="7"/>
    </row>
    <row r="974" spans="1:18" x14ac:dyDescent="0.2">
      <c r="A974" s="7"/>
      <c r="B974" s="7"/>
      <c r="C974" s="7"/>
      <c r="D974" s="7"/>
      <c r="E974" s="7"/>
      <c r="F974" s="7"/>
      <c r="G974" s="37"/>
      <c r="H974" s="37"/>
      <c r="I974" s="7"/>
      <c r="J974" s="7"/>
      <c r="K974" s="7"/>
      <c r="L974" s="7"/>
      <c r="M974" s="7"/>
      <c r="N974" s="7"/>
      <c r="O974" s="7"/>
      <c r="P974" s="7"/>
      <c r="Q974" s="7"/>
      <c r="R974" s="7"/>
    </row>
    <row r="975" spans="1:18" x14ac:dyDescent="0.2">
      <c r="A975" s="7"/>
      <c r="B975" s="7"/>
      <c r="C975" s="7"/>
      <c r="D975" s="7"/>
      <c r="E975" s="7"/>
      <c r="F975" s="7"/>
      <c r="G975" s="37"/>
      <c r="H975" s="37"/>
      <c r="I975" s="7"/>
      <c r="J975" s="7"/>
      <c r="K975" s="7"/>
      <c r="L975" s="7"/>
      <c r="M975" s="7"/>
      <c r="N975" s="7"/>
      <c r="O975" s="7"/>
      <c r="P975" s="7"/>
      <c r="Q975" s="7"/>
      <c r="R975" s="7"/>
    </row>
    <row r="976" spans="1:18" x14ac:dyDescent="0.2">
      <c r="A976" s="7"/>
      <c r="B976" s="7"/>
      <c r="C976" s="7"/>
      <c r="D976" s="7"/>
      <c r="E976" s="7"/>
      <c r="F976" s="7"/>
      <c r="G976" s="37"/>
      <c r="H976" s="37"/>
      <c r="I976" s="7"/>
      <c r="J976" s="7"/>
      <c r="K976" s="7"/>
      <c r="L976" s="7"/>
      <c r="M976" s="7"/>
      <c r="N976" s="7"/>
      <c r="O976" s="7"/>
      <c r="P976" s="7"/>
      <c r="Q976" s="7"/>
      <c r="R976" s="7"/>
    </row>
    <row r="977" spans="1:18" x14ac:dyDescent="0.2">
      <c r="A977" s="7"/>
      <c r="B977" s="7"/>
      <c r="C977" s="7"/>
      <c r="D977" s="7"/>
      <c r="E977" s="7"/>
      <c r="F977" s="7"/>
      <c r="G977" s="37"/>
      <c r="H977" s="37"/>
      <c r="I977" s="7"/>
      <c r="J977" s="7"/>
      <c r="K977" s="7"/>
      <c r="L977" s="7"/>
      <c r="M977" s="7"/>
      <c r="N977" s="7"/>
      <c r="O977" s="7"/>
      <c r="P977" s="7"/>
      <c r="Q977" s="7"/>
      <c r="R977" s="7"/>
    </row>
    <row r="978" spans="1:18" x14ac:dyDescent="0.2">
      <c r="A978" s="7"/>
      <c r="B978" s="7"/>
      <c r="C978" s="7"/>
      <c r="D978" s="7"/>
      <c r="E978" s="7"/>
      <c r="F978" s="7"/>
      <c r="G978" s="37"/>
      <c r="H978" s="37"/>
      <c r="I978" s="7"/>
      <c r="J978" s="7"/>
      <c r="K978" s="7"/>
      <c r="L978" s="7"/>
      <c r="M978" s="7"/>
      <c r="N978" s="7"/>
      <c r="O978" s="7"/>
      <c r="P978" s="7"/>
      <c r="Q978" s="7"/>
      <c r="R978" s="7"/>
    </row>
    <row r="979" spans="1:18" x14ac:dyDescent="0.2">
      <c r="A979" s="7"/>
      <c r="B979" s="7"/>
      <c r="C979" s="7"/>
      <c r="D979" s="7"/>
      <c r="E979" s="7"/>
      <c r="F979" s="7"/>
      <c r="G979" s="37"/>
      <c r="H979" s="37"/>
      <c r="I979" s="7"/>
      <c r="J979" s="7"/>
      <c r="K979" s="7"/>
      <c r="L979" s="7"/>
      <c r="M979" s="7"/>
      <c r="N979" s="7"/>
      <c r="O979" s="7"/>
      <c r="P979" s="7"/>
      <c r="Q979" s="7"/>
      <c r="R979" s="7"/>
    </row>
    <row r="980" spans="1:18" x14ac:dyDescent="0.2">
      <c r="A980" s="7"/>
      <c r="B980" s="7"/>
      <c r="C980" s="7"/>
      <c r="D980" s="7"/>
      <c r="E980" s="7"/>
      <c r="F980" s="7"/>
      <c r="G980" s="37"/>
      <c r="H980" s="37"/>
      <c r="I980" s="7"/>
      <c r="J980" s="7"/>
      <c r="K980" s="7"/>
      <c r="L980" s="7"/>
      <c r="M980" s="7"/>
      <c r="N980" s="7"/>
      <c r="O980" s="7"/>
      <c r="P980" s="7"/>
      <c r="Q980" s="7"/>
      <c r="R980" s="7"/>
    </row>
    <row r="981" spans="1:18" x14ac:dyDescent="0.2">
      <c r="A981" s="7"/>
      <c r="B981" s="7"/>
      <c r="C981" s="7"/>
      <c r="D981" s="7"/>
      <c r="E981" s="7"/>
      <c r="F981" s="7"/>
      <c r="G981" s="37"/>
      <c r="H981" s="37"/>
      <c r="I981" s="7"/>
      <c r="J981" s="7"/>
      <c r="K981" s="7"/>
      <c r="L981" s="7"/>
      <c r="M981" s="7"/>
      <c r="N981" s="7"/>
      <c r="O981" s="7"/>
      <c r="P981" s="7"/>
      <c r="Q981" s="7"/>
      <c r="R981" s="7"/>
    </row>
    <row r="982" spans="1:18" x14ac:dyDescent="0.2">
      <c r="A982" s="7"/>
      <c r="B982" s="7"/>
      <c r="C982" s="7"/>
      <c r="D982" s="7"/>
      <c r="E982" s="7"/>
      <c r="F982" s="7"/>
      <c r="G982" s="37"/>
      <c r="H982" s="37"/>
      <c r="I982" s="7"/>
      <c r="J982" s="7"/>
      <c r="K982" s="7"/>
      <c r="L982" s="7"/>
      <c r="M982" s="7"/>
      <c r="N982" s="7"/>
      <c r="O982" s="7"/>
      <c r="P982" s="7"/>
      <c r="Q982" s="7"/>
      <c r="R982" s="7"/>
    </row>
    <row r="983" spans="1:18" x14ac:dyDescent="0.2">
      <c r="A983" s="7"/>
      <c r="B983" s="7"/>
      <c r="C983" s="7"/>
      <c r="D983" s="7"/>
      <c r="E983" s="7"/>
      <c r="F983" s="7"/>
      <c r="G983" s="37"/>
      <c r="H983" s="37"/>
      <c r="I983" s="7"/>
      <c r="J983" s="7"/>
      <c r="K983" s="7"/>
      <c r="L983" s="7"/>
      <c r="M983" s="7"/>
      <c r="N983" s="7"/>
      <c r="O983" s="7"/>
      <c r="P983" s="7"/>
      <c r="Q983" s="7"/>
      <c r="R983" s="7"/>
    </row>
    <row r="984" spans="1:18" x14ac:dyDescent="0.2">
      <c r="A984" s="7"/>
      <c r="B984" s="7"/>
      <c r="C984" s="7"/>
      <c r="D984" s="7"/>
      <c r="E984" s="7"/>
      <c r="F984" s="7"/>
      <c r="G984" s="37"/>
      <c r="H984" s="37"/>
      <c r="I984" s="7"/>
      <c r="J984" s="7"/>
      <c r="K984" s="7"/>
      <c r="L984" s="7"/>
      <c r="M984" s="7"/>
      <c r="N984" s="7"/>
      <c r="O984" s="7"/>
      <c r="P984" s="7"/>
      <c r="Q984" s="7"/>
      <c r="R984" s="7"/>
    </row>
    <row r="985" spans="1:18" x14ac:dyDescent="0.2">
      <c r="A985" s="7"/>
      <c r="B985" s="7"/>
      <c r="C985" s="7"/>
      <c r="D985" s="7"/>
      <c r="E985" s="7"/>
      <c r="F985" s="7"/>
      <c r="G985" s="37"/>
      <c r="H985" s="37"/>
      <c r="I985" s="7"/>
      <c r="J985" s="7"/>
      <c r="K985" s="7"/>
      <c r="L985" s="7"/>
      <c r="M985" s="7"/>
      <c r="N985" s="7"/>
      <c r="O985" s="7"/>
      <c r="P985" s="7"/>
      <c r="Q985" s="7"/>
      <c r="R985" s="7"/>
    </row>
    <row r="986" spans="1:18" x14ac:dyDescent="0.2">
      <c r="A986" s="7"/>
      <c r="B986" s="7"/>
      <c r="C986" s="7"/>
      <c r="D986" s="7"/>
      <c r="E986" s="7"/>
      <c r="F986" s="7"/>
      <c r="G986" s="37"/>
      <c r="H986" s="37"/>
      <c r="I986" s="7"/>
      <c r="J986" s="7"/>
      <c r="K986" s="7"/>
      <c r="L986" s="7"/>
      <c r="M986" s="7"/>
      <c r="N986" s="7"/>
      <c r="O986" s="7"/>
      <c r="P986" s="7"/>
      <c r="Q986" s="7"/>
      <c r="R986" s="7"/>
    </row>
    <row r="987" spans="1:18" x14ac:dyDescent="0.2">
      <c r="A987" s="7"/>
      <c r="B987" s="7"/>
      <c r="C987" s="7"/>
      <c r="D987" s="7"/>
      <c r="E987" s="7"/>
      <c r="F987" s="7"/>
      <c r="G987" s="37"/>
      <c r="H987" s="37"/>
      <c r="I987" s="7"/>
      <c r="J987" s="7"/>
      <c r="K987" s="7"/>
      <c r="L987" s="7"/>
      <c r="M987" s="7"/>
      <c r="N987" s="7"/>
      <c r="O987" s="7"/>
      <c r="P987" s="7"/>
      <c r="Q987" s="7"/>
      <c r="R987" s="7"/>
    </row>
    <row r="988" spans="1:18" x14ac:dyDescent="0.2">
      <c r="A988" s="7"/>
      <c r="B988" s="7"/>
      <c r="C988" s="7"/>
      <c r="D988" s="7"/>
      <c r="E988" s="7"/>
      <c r="F988" s="7"/>
      <c r="G988" s="37"/>
      <c r="H988" s="37"/>
      <c r="I988" s="7"/>
      <c r="J988" s="7"/>
      <c r="K988" s="7"/>
      <c r="L988" s="7"/>
      <c r="M988" s="7"/>
      <c r="N988" s="7"/>
      <c r="O988" s="7"/>
      <c r="P988" s="7"/>
      <c r="Q988" s="7"/>
      <c r="R988" s="7"/>
    </row>
    <row r="989" spans="1:18" x14ac:dyDescent="0.2">
      <c r="A989" s="7"/>
      <c r="B989" s="7"/>
      <c r="C989" s="7"/>
      <c r="D989" s="7"/>
      <c r="E989" s="7"/>
      <c r="F989" s="7"/>
      <c r="G989" s="37"/>
      <c r="H989" s="37"/>
      <c r="I989" s="7"/>
      <c r="J989" s="7"/>
      <c r="K989" s="7"/>
      <c r="L989" s="7"/>
      <c r="M989" s="7"/>
      <c r="N989" s="7"/>
      <c r="O989" s="7"/>
      <c r="P989" s="7"/>
      <c r="Q989" s="7"/>
      <c r="R989" s="7"/>
    </row>
    <row r="990" spans="1:18" x14ac:dyDescent="0.2">
      <c r="A990" s="7"/>
      <c r="B990" s="7"/>
      <c r="C990" s="7"/>
      <c r="D990" s="7"/>
      <c r="E990" s="7"/>
      <c r="F990" s="7"/>
      <c r="G990" s="37"/>
      <c r="H990" s="37"/>
      <c r="I990" s="7"/>
      <c r="J990" s="7"/>
      <c r="K990" s="7"/>
      <c r="L990" s="7"/>
      <c r="M990" s="7"/>
      <c r="N990" s="7"/>
      <c r="O990" s="7"/>
      <c r="P990" s="7"/>
      <c r="Q990" s="7"/>
      <c r="R990" s="7"/>
    </row>
    <row r="991" spans="1:18" x14ac:dyDescent="0.2">
      <c r="A991" s="7"/>
      <c r="B991" s="7"/>
      <c r="C991" s="7"/>
      <c r="D991" s="7"/>
      <c r="E991" s="7"/>
      <c r="F991" s="7"/>
      <c r="G991" s="37"/>
      <c r="H991" s="37"/>
      <c r="I991" s="7"/>
      <c r="J991" s="7"/>
      <c r="K991" s="7"/>
      <c r="L991" s="7"/>
      <c r="M991" s="7"/>
      <c r="N991" s="7"/>
      <c r="O991" s="7"/>
      <c r="P991" s="7"/>
      <c r="Q991" s="7"/>
      <c r="R991" s="7"/>
    </row>
    <row r="992" spans="1:18" x14ac:dyDescent="0.2">
      <c r="A992" s="7"/>
      <c r="B992" s="7"/>
      <c r="C992" s="7"/>
      <c r="D992" s="7"/>
      <c r="E992" s="7"/>
      <c r="F992" s="7"/>
      <c r="G992" s="37"/>
      <c r="H992" s="37"/>
      <c r="I992" s="7"/>
      <c r="J992" s="7"/>
      <c r="K992" s="7"/>
      <c r="L992" s="7"/>
      <c r="M992" s="7"/>
      <c r="N992" s="7"/>
      <c r="O992" s="7"/>
      <c r="P992" s="7"/>
      <c r="Q992" s="7"/>
      <c r="R992" s="7"/>
    </row>
    <row r="993" spans="1:18" x14ac:dyDescent="0.2">
      <c r="A993" s="7"/>
      <c r="B993" s="7"/>
      <c r="C993" s="7"/>
      <c r="D993" s="7"/>
      <c r="E993" s="7"/>
      <c r="F993" s="7"/>
      <c r="G993" s="37"/>
      <c r="H993" s="37"/>
      <c r="I993" s="7"/>
      <c r="J993" s="7"/>
      <c r="K993" s="7"/>
      <c r="L993" s="7"/>
      <c r="M993" s="7"/>
      <c r="N993" s="7"/>
      <c r="O993" s="7"/>
      <c r="P993" s="7"/>
      <c r="Q993" s="7"/>
      <c r="R993" s="7"/>
    </row>
    <row r="994" spans="1:18" x14ac:dyDescent="0.2">
      <c r="A994" s="7"/>
      <c r="B994" s="7"/>
      <c r="C994" s="7"/>
      <c r="D994" s="7"/>
      <c r="E994" s="7"/>
      <c r="F994" s="7"/>
      <c r="G994" s="37"/>
      <c r="H994" s="37"/>
      <c r="I994" s="7"/>
      <c r="J994" s="7"/>
      <c r="K994" s="7"/>
      <c r="L994" s="7"/>
      <c r="M994" s="7"/>
      <c r="N994" s="7"/>
      <c r="O994" s="7"/>
      <c r="P994" s="7"/>
      <c r="Q994" s="7"/>
      <c r="R994" s="7"/>
    </row>
    <row r="995" spans="1:18" x14ac:dyDescent="0.2">
      <c r="A995" s="7"/>
      <c r="B995" s="7"/>
      <c r="C995" s="7"/>
      <c r="D995" s="7"/>
      <c r="E995" s="7"/>
      <c r="F995" s="7"/>
      <c r="G995" s="37"/>
      <c r="H995" s="37"/>
      <c r="I995" s="7"/>
      <c r="J995" s="7"/>
      <c r="K995" s="7"/>
      <c r="L995" s="7"/>
      <c r="M995" s="7"/>
      <c r="N995" s="7"/>
      <c r="O995" s="7"/>
      <c r="P995" s="7"/>
      <c r="Q995" s="7"/>
      <c r="R995" s="7"/>
    </row>
    <row r="996" spans="1:18" x14ac:dyDescent="0.2">
      <c r="A996" s="7"/>
      <c r="B996" s="7"/>
      <c r="C996" s="7"/>
      <c r="D996" s="7"/>
      <c r="E996" s="7"/>
      <c r="F996" s="7"/>
      <c r="G996" s="37"/>
      <c r="H996" s="37"/>
      <c r="I996" s="7"/>
      <c r="J996" s="7"/>
      <c r="K996" s="7"/>
      <c r="L996" s="7"/>
      <c r="M996" s="7"/>
      <c r="N996" s="7"/>
      <c r="O996" s="7"/>
      <c r="P996" s="7"/>
      <c r="Q996" s="7"/>
      <c r="R996" s="7"/>
    </row>
    <row r="997" spans="1:18" x14ac:dyDescent="0.2">
      <c r="A997" s="7"/>
      <c r="B997" s="7"/>
      <c r="C997" s="7"/>
      <c r="D997" s="7"/>
      <c r="E997" s="7"/>
      <c r="F997" s="7"/>
      <c r="G997" s="37"/>
      <c r="H997" s="37"/>
      <c r="I997" s="7"/>
      <c r="J997" s="7"/>
      <c r="K997" s="7"/>
      <c r="L997" s="7"/>
      <c r="M997" s="7"/>
      <c r="N997" s="7"/>
      <c r="O997" s="7"/>
      <c r="P997" s="7"/>
      <c r="Q997" s="7"/>
      <c r="R997" s="7"/>
    </row>
    <row r="998" spans="1:18" x14ac:dyDescent="0.2">
      <c r="A998" s="7"/>
      <c r="B998" s="7"/>
      <c r="C998" s="7"/>
      <c r="D998" s="7"/>
      <c r="E998" s="7"/>
      <c r="F998" s="7"/>
      <c r="G998" s="37"/>
      <c r="H998" s="37"/>
      <c r="I998" s="7"/>
      <c r="J998" s="7"/>
      <c r="K998" s="7"/>
      <c r="L998" s="7"/>
      <c r="M998" s="7"/>
      <c r="N998" s="7"/>
      <c r="O998" s="7"/>
      <c r="P998" s="7"/>
      <c r="Q998" s="7"/>
      <c r="R998" s="7"/>
    </row>
    <row r="999" spans="1:18" x14ac:dyDescent="0.2">
      <c r="A999" s="7"/>
      <c r="B999" s="7"/>
      <c r="C999" s="7"/>
      <c r="D999" s="7"/>
      <c r="E999" s="7"/>
      <c r="F999" s="7"/>
      <c r="G999" s="37"/>
      <c r="H999" s="37"/>
      <c r="I999" s="7"/>
      <c r="J999" s="7"/>
      <c r="K999" s="7"/>
      <c r="L999" s="7"/>
      <c r="M999" s="7"/>
      <c r="N999" s="7"/>
      <c r="O999" s="7"/>
      <c r="P999" s="7"/>
      <c r="Q999" s="7"/>
      <c r="R999" s="7"/>
    </row>
    <row r="1000" spans="1:18" x14ac:dyDescent="0.2">
      <c r="A1000" s="7"/>
      <c r="B1000" s="7"/>
      <c r="C1000" s="7"/>
      <c r="D1000" s="7"/>
      <c r="E1000" s="7"/>
      <c r="F1000" s="7"/>
      <c r="G1000" s="37"/>
      <c r="H1000" s="37"/>
      <c r="I1000" s="7"/>
      <c r="J1000" s="7"/>
      <c r="K1000" s="7"/>
      <c r="L1000" s="7"/>
      <c r="M1000" s="7"/>
      <c r="N1000" s="7"/>
      <c r="O1000" s="7"/>
      <c r="P1000" s="7"/>
      <c r="Q1000" s="7"/>
      <c r="R1000" s="7"/>
    </row>
    <row r="1001" spans="1:18" x14ac:dyDescent="0.2">
      <c r="A1001" s="7"/>
      <c r="B1001" s="7"/>
      <c r="C1001" s="7"/>
      <c r="D1001" s="7"/>
      <c r="E1001" s="7"/>
      <c r="F1001" s="7"/>
      <c r="G1001" s="37"/>
      <c r="H1001" s="37"/>
      <c r="I1001" s="7"/>
      <c r="J1001" s="7"/>
      <c r="K1001" s="7"/>
      <c r="L1001" s="7"/>
      <c r="M1001" s="7"/>
      <c r="N1001" s="7"/>
      <c r="O1001" s="7"/>
      <c r="P1001" s="7"/>
      <c r="Q1001" s="7"/>
      <c r="R1001" s="7"/>
    </row>
    <row r="1002" spans="1:18" x14ac:dyDescent="0.2">
      <c r="A1002" s="7"/>
      <c r="B1002" s="7"/>
      <c r="C1002" s="7"/>
      <c r="D1002" s="7"/>
      <c r="E1002" s="7"/>
      <c r="F1002" s="7"/>
      <c r="G1002" s="37"/>
      <c r="H1002" s="37"/>
      <c r="I1002" s="7"/>
      <c r="J1002" s="7"/>
      <c r="K1002" s="7"/>
      <c r="L1002" s="7"/>
      <c r="M1002" s="7"/>
      <c r="N1002" s="7"/>
      <c r="O1002" s="7"/>
      <c r="P1002" s="7"/>
      <c r="Q1002" s="7"/>
      <c r="R1002" s="7"/>
    </row>
    <row r="1003" spans="1:18" x14ac:dyDescent="0.2">
      <c r="A1003" s="7"/>
      <c r="B1003" s="7"/>
      <c r="C1003" s="7"/>
      <c r="D1003" s="7"/>
      <c r="E1003" s="7"/>
      <c r="F1003" s="7"/>
      <c r="G1003" s="37"/>
      <c r="H1003" s="37"/>
      <c r="I1003" s="7"/>
      <c r="J1003" s="7"/>
      <c r="K1003" s="7"/>
      <c r="L1003" s="7"/>
      <c r="M1003" s="7"/>
      <c r="N1003" s="7"/>
      <c r="O1003" s="7"/>
      <c r="P1003" s="7"/>
      <c r="Q1003" s="7"/>
      <c r="R1003" s="7"/>
    </row>
    <row r="1004" spans="1:18" x14ac:dyDescent="0.2">
      <c r="A1004" s="7"/>
      <c r="B1004" s="7"/>
      <c r="C1004" s="7"/>
      <c r="D1004" s="7"/>
      <c r="E1004" s="7"/>
      <c r="F1004" s="7"/>
      <c r="G1004" s="7"/>
      <c r="H1004" s="37"/>
      <c r="I1004" s="7"/>
      <c r="J1004" s="7"/>
      <c r="K1004" s="7"/>
      <c r="L1004" s="7"/>
      <c r="M1004" s="7"/>
      <c r="N1004" s="7"/>
      <c r="O1004" s="7"/>
      <c r="P1004" s="7"/>
      <c r="Q1004" s="7"/>
      <c r="R1004" s="7"/>
    </row>
    <row r="1005" spans="1:18" x14ac:dyDescent="0.2">
      <c r="A1005" s="7"/>
      <c r="B1005" s="7"/>
      <c r="C1005" s="7"/>
      <c r="D1005" s="7"/>
      <c r="E1005" s="7"/>
      <c r="F1005" s="7"/>
      <c r="G1005" s="7"/>
      <c r="H1005" s="37"/>
      <c r="I1005" s="7"/>
      <c r="J1005" s="7"/>
      <c r="K1005" s="7"/>
      <c r="L1005" s="7"/>
      <c r="M1005" s="7"/>
      <c r="N1005" s="7"/>
      <c r="O1005" s="7"/>
      <c r="P1005" s="7"/>
      <c r="Q1005" s="7"/>
      <c r="R1005" s="7"/>
    </row>
    <row r="1006" spans="1:18" x14ac:dyDescent="0.2">
      <c r="A1006" s="7"/>
      <c r="B1006" s="7"/>
      <c r="C1006" s="7"/>
      <c r="D1006" s="7"/>
      <c r="E1006" s="7"/>
      <c r="F1006" s="7"/>
      <c r="G1006" s="7"/>
      <c r="H1006" s="37"/>
      <c r="I1006" s="7"/>
      <c r="J1006" s="7"/>
      <c r="K1006" s="7"/>
      <c r="L1006" s="7"/>
      <c r="M1006" s="7"/>
      <c r="N1006" s="7"/>
      <c r="O1006" s="7"/>
      <c r="P1006" s="7"/>
      <c r="Q1006" s="7"/>
      <c r="R1006" s="7"/>
    </row>
    <row r="1007" spans="1:18" x14ac:dyDescent="0.2">
      <c r="A1007" s="7"/>
      <c r="B1007" s="7"/>
      <c r="C1007" s="7"/>
      <c r="D1007" s="7"/>
      <c r="E1007" s="7"/>
      <c r="F1007" s="7"/>
      <c r="G1007" s="7"/>
      <c r="H1007" s="37"/>
      <c r="I1007" s="7"/>
      <c r="J1007" s="7"/>
      <c r="K1007" s="7"/>
      <c r="L1007" s="7"/>
      <c r="M1007" s="7"/>
      <c r="N1007" s="7"/>
      <c r="O1007" s="7"/>
      <c r="P1007" s="7"/>
      <c r="Q1007" s="7"/>
      <c r="R1007" s="7"/>
    </row>
    <row r="1008" spans="1:18" x14ac:dyDescent="0.2">
      <c r="A1008" s="7"/>
      <c r="B1008" s="7"/>
      <c r="C1008" s="7"/>
      <c r="D1008" s="7"/>
      <c r="E1008" s="7"/>
      <c r="F1008" s="7"/>
      <c r="G1008" s="7"/>
      <c r="H1008" s="37"/>
      <c r="I1008" s="7"/>
      <c r="J1008" s="7"/>
      <c r="K1008" s="7"/>
      <c r="L1008" s="7"/>
      <c r="M1008" s="7"/>
      <c r="N1008" s="7"/>
      <c r="O1008" s="7"/>
      <c r="P1008" s="7"/>
      <c r="Q1008" s="7"/>
      <c r="R1008" s="7"/>
    </row>
    <row r="1009" spans="1:18" x14ac:dyDescent="0.2">
      <c r="A1009" s="7"/>
      <c r="B1009" s="7"/>
      <c r="C1009" s="7"/>
      <c r="D1009" s="7"/>
      <c r="E1009" s="7"/>
      <c r="F1009" s="7"/>
      <c r="G1009" s="7"/>
      <c r="H1009" s="37"/>
      <c r="I1009" s="7"/>
      <c r="J1009" s="7"/>
      <c r="K1009" s="7"/>
      <c r="L1009" s="7"/>
      <c r="M1009" s="7"/>
      <c r="N1009" s="7"/>
      <c r="O1009" s="7"/>
      <c r="P1009" s="7"/>
      <c r="Q1009" s="7"/>
      <c r="R1009" s="7"/>
    </row>
    <row r="1010" spans="1:18" x14ac:dyDescent="0.2">
      <c r="A1010" s="7"/>
      <c r="B1010" s="7"/>
      <c r="C1010" s="7"/>
      <c r="D1010" s="7"/>
      <c r="E1010" s="7"/>
      <c r="F1010" s="7"/>
      <c r="G1010" s="7"/>
      <c r="H1010" s="37"/>
      <c r="I1010" s="7"/>
      <c r="J1010" s="7"/>
      <c r="K1010" s="7"/>
      <c r="L1010" s="7"/>
      <c r="M1010" s="7"/>
      <c r="N1010" s="7"/>
      <c r="O1010" s="7"/>
      <c r="P1010" s="7"/>
      <c r="Q1010" s="7"/>
      <c r="R1010" s="7"/>
    </row>
    <row r="1011" spans="1:18" x14ac:dyDescent="0.2">
      <c r="A1011" s="7"/>
      <c r="B1011" s="7"/>
      <c r="C1011" s="7"/>
      <c r="D1011" s="7"/>
      <c r="E1011" s="7"/>
      <c r="F1011" s="7"/>
      <c r="G1011" s="7"/>
      <c r="H1011" s="37"/>
      <c r="I1011" s="7"/>
      <c r="J1011" s="7"/>
      <c r="K1011" s="7"/>
      <c r="L1011" s="7"/>
      <c r="M1011" s="7"/>
      <c r="N1011" s="7"/>
      <c r="O1011" s="7"/>
      <c r="P1011" s="7"/>
      <c r="Q1011" s="7"/>
      <c r="R1011" s="7"/>
    </row>
    <row r="1012" spans="1:18" x14ac:dyDescent="0.2">
      <c r="A1012" s="7"/>
      <c r="B1012" s="7"/>
      <c r="C1012" s="7"/>
      <c r="D1012" s="7"/>
      <c r="E1012" s="7"/>
      <c r="F1012" s="7"/>
      <c r="G1012" s="7"/>
      <c r="H1012" s="37"/>
      <c r="I1012" s="7"/>
      <c r="J1012" s="7"/>
      <c r="K1012" s="7"/>
      <c r="L1012" s="7"/>
      <c r="M1012" s="7"/>
      <c r="N1012" s="7"/>
      <c r="O1012" s="7"/>
      <c r="P1012" s="7"/>
      <c r="Q1012" s="7"/>
      <c r="R1012" s="7"/>
    </row>
    <row r="1013" spans="1:18" x14ac:dyDescent="0.2">
      <c r="A1013" s="7"/>
      <c r="B1013" s="7"/>
      <c r="C1013" s="7"/>
      <c r="D1013" s="7"/>
      <c r="E1013" s="7"/>
      <c r="F1013" s="7"/>
      <c r="G1013" s="7"/>
      <c r="H1013" s="37"/>
      <c r="I1013" s="7"/>
      <c r="J1013" s="7"/>
      <c r="K1013" s="7"/>
      <c r="L1013" s="7"/>
      <c r="M1013" s="7"/>
      <c r="N1013" s="7"/>
      <c r="O1013" s="7"/>
      <c r="P1013" s="7"/>
      <c r="Q1013" s="7"/>
      <c r="R1013" s="7"/>
    </row>
    <row r="1014" spans="1:18" x14ac:dyDescent="0.2">
      <c r="A1014" s="7"/>
      <c r="B1014" s="7"/>
      <c r="C1014" s="7"/>
      <c r="D1014" s="7"/>
      <c r="E1014" s="7"/>
      <c r="F1014" s="7"/>
      <c r="G1014" s="7"/>
      <c r="H1014" s="37"/>
      <c r="I1014" s="7"/>
      <c r="J1014" s="7"/>
      <c r="K1014" s="7"/>
      <c r="L1014" s="7"/>
      <c r="M1014" s="7"/>
      <c r="N1014" s="7"/>
      <c r="O1014" s="7"/>
      <c r="P1014" s="7"/>
      <c r="Q1014" s="7"/>
      <c r="R1014" s="7"/>
    </row>
    <row r="1015" spans="1:18" x14ac:dyDescent="0.2">
      <c r="A1015" s="7"/>
      <c r="B1015" s="7"/>
      <c r="C1015" s="7"/>
      <c r="D1015" s="7"/>
      <c r="E1015" s="7"/>
      <c r="F1015" s="7"/>
      <c r="G1015" s="7"/>
      <c r="H1015" s="37"/>
      <c r="I1015" s="7"/>
      <c r="J1015" s="7"/>
      <c r="K1015" s="7"/>
      <c r="L1015" s="7"/>
      <c r="M1015" s="7"/>
      <c r="N1015" s="7"/>
      <c r="O1015" s="7"/>
      <c r="P1015" s="7"/>
      <c r="Q1015" s="7"/>
      <c r="R1015" s="7"/>
    </row>
    <row r="1016" spans="1:18" x14ac:dyDescent="0.2">
      <c r="A1016" s="7"/>
      <c r="B1016" s="7"/>
      <c r="C1016" s="7"/>
      <c r="D1016" s="7"/>
      <c r="E1016" s="7"/>
      <c r="F1016" s="7"/>
      <c r="G1016" s="7"/>
      <c r="H1016" s="37"/>
      <c r="I1016" s="7"/>
      <c r="J1016" s="7"/>
      <c r="K1016" s="7"/>
      <c r="L1016" s="7"/>
      <c r="M1016" s="7"/>
      <c r="N1016" s="7"/>
      <c r="O1016" s="7"/>
      <c r="P1016" s="7"/>
      <c r="Q1016" s="7"/>
      <c r="R1016" s="7"/>
    </row>
    <row r="1017" spans="1:18" x14ac:dyDescent="0.2">
      <c r="A1017" s="7"/>
      <c r="B1017" s="7"/>
      <c r="C1017" s="7"/>
      <c r="D1017" s="7"/>
      <c r="E1017" s="7"/>
      <c r="F1017" s="7"/>
      <c r="G1017" s="7"/>
      <c r="H1017" s="37"/>
      <c r="I1017" s="7"/>
      <c r="J1017" s="7"/>
      <c r="K1017" s="7"/>
      <c r="L1017" s="7"/>
      <c r="M1017" s="7"/>
      <c r="N1017" s="7"/>
      <c r="O1017" s="7"/>
      <c r="P1017" s="7"/>
      <c r="Q1017" s="7"/>
      <c r="R1017" s="7"/>
    </row>
    <row r="1018" spans="1:18" x14ac:dyDescent="0.2">
      <c r="A1018" s="7"/>
      <c r="B1018" s="7"/>
      <c r="C1018" s="7"/>
      <c r="D1018" s="7"/>
      <c r="E1018" s="7"/>
      <c r="F1018" s="7"/>
      <c r="G1018" s="7"/>
      <c r="H1018" s="37"/>
      <c r="I1018" s="7"/>
      <c r="J1018" s="7"/>
      <c r="K1018" s="7"/>
      <c r="L1018" s="7"/>
      <c r="M1018" s="7"/>
      <c r="N1018" s="7"/>
      <c r="O1018" s="7"/>
      <c r="P1018" s="7"/>
      <c r="Q1018" s="7"/>
      <c r="R1018" s="7"/>
    </row>
    <row r="1019" spans="1:18" x14ac:dyDescent="0.2">
      <c r="A1019" s="7"/>
      <c r="B1019" s="7"/>
      <c r="C1019" s="7"/>
      <c r="D1019" s="7"/>
      <c r="E1019" s="7"/>
      <c r="F1019" s="7"/>
      <c r="G1019" s="7"/>
      <c r="H1019" s="37"/>
      <c r="I1019" s="7"/>
      <c r="J1019" s="7"/>
      <c r="K1019" s="7"/>
      <c r="L1019" s="7"/>
      <c r="M1019" s="7"/>
      <c r="N1019" s="7"/>
      <c r="O1019" s="7"/>
      <c r="P1019" s="7"/>
      <c r="Q1019" s="7"/>
      <c r="R1019" s="7"/>
    </row>
    <row r="1020" spans="1:18" x14ac:dyDescent="0.2">
      <c r="A1020" s="7"/>
      <c r="B1020" s="7"/>
      <c r="C1020" s="7"/>
      <c r="D1020" s="7"/>
      <c r="E1020" s="7"/>
      <c r="F1020" s="7"/>
      <c r="G1020" s="7"/>
      <c r="H1020" s="37"/>
      <c r="I1020" s="7"/>
      <c r="J1020" s="7"/>
      <c r="K1020" s="7"/>
      <c r="L1020" s="7"/>
      <c r="M1020" s="7"/>
      <c r="N1020" s="7"/>
      <c r="O1020" s="7"/>
      <c r="P1020" s="7"/>
      <c r="Q1020" s="7"/>
      <c r="R1020" s="7"/>
    </row>
    <row r="1021" spans="1:18" x14ac:dyDescent="0.2">
      <c r="A1021" s="7"/>
      <c r="B1021" s="7"/>
      <c r="C1021" s="7"/>
      <c r="D1021" s="7"/>
      <c r="E1021" s="7"/>
      <c r="F1021" s="7"/>
      <c r="G1021" s="7"/>
      <c r="H1021" s="37"/>
      <c r="I1021" s="7"/>
      <c r="J1021" s="7"/>
      <c r="K1021" s="7"/>
      <c r="L1021" s="7"/>
      <c r="M1021" s="7"/>
      <c r="N1021" s="7"/>
      <c r="O1021" s="7"/>
      <c r="P1021" s="7"/>
      <c r="Q1021" s="7"/>
      <c r="R1021" s="7"/>
    </row>
    <row r="1022" spans="1:18" x14ac:dyDescent="0.2">
      <c r="A1022" s="7"/>
      <c r="B1022" s="7"/>
      <c r="C1022" s="7"/>
      <c r="D1022" s="7"/>
      <c r="E1022" s="7"/>
      <c r="F1022" s="7"/>
      <c r="G1022" s="7"/>
      <c r="H1022" s="37"/>
      <c r="I1022" s="7"/>
      <c r="J1022" s="7"/>
      <c r="K1022" s="7"/>
      <c r="L1022" s="7"/>
      <c r="M1022" s="7"/>
      <c r="N1022" s="7"/>
      <c r="O1022" s="7"/>
      <c r="P1022" s="7"/>
      <c r="Q1022" s="7"/>
      <c r="R1022" s="7"/>
    </row>
    <row r="1023" spans="1:18" x14ac:dyDescent="0.2">
      <c r="A1023" s="7"/>
      <c r="B1023" s="7"/>
      <c r="C1023" s="7"/>
      <c r="D1023" s="7"/>
      <c r="E1023" s="7"/>
      <c r="F1023" s="7"/>
      <c r="G1023" s="7"/>
      <c r="H1023" s="37"/>
      <c r="I1023" s="7"/>
      <c r="J1023" s="7"/>
      <c r="K1023" s="7"/>
      <c r="L1023" s="7"/>
      <c r="M1023" s="7"/>
      <c r="N1023" s="7"/>
      <c r="O1023" s="7"/>
      <c r="P1023" s="7"/>
      <c r="Q1023" s="7"/>
      <c r="R1023" s="7"/>
    </row>
    <row r="1024" spans="1:18" x14ac:dyDescent="0.2">
      <c r="A1024" s="7"/>
      <c r="B1024" s="7"/>
      <c r="C1024" s="7"/>
      <c r="D1024" s="7"/>
      <c r="E1024" s="7"/>
      <c r="F1024" s="7"/>
      <c r="G1024" s="7"/>
      <c r="H1024" s="37"/>
      <c r="I1024" s="7"/>
      <c r="J1024" s="7"/>
      <c r="K1024" s="7"/>
      <c r="L1024" s="7"/>
      <c r="M1024" s="7"/>
      <c r="N1024" s="7"/>
      <c r="O1024" s="7"/>
      <c r="P1024" s="7"/>
      <c r="Q1024" s="7"/>
      <c r="R1024" s="7"/>
    </row>
    <row r="1025" spans="1:18" x14ac:dyDescent="0.2">
      <c r="A1025" s="7"/>
      <c r="B1025" s="7"/>
      <c r="C1025" s="7"/>
      <c r="D1025" s="7"/>
      <c r="E1025" s="7"/>
      <c r="F1025" s="7"/>
      <c r="G1025" s="7"/>
      <c r="H1025" s="37"/>
      <c r="I1025" s="7"/>
      <c r="J1025" s="7"/>
      <c r="K1025" s="7"/>
      <c r="L1025" s="7"/>
      <c r="M1025" s="7"/>
      <c r="N1025" s="7"/>
      <c r="O1025" s="7"/>
      <c r="P1025" s="7"/>
      <c r="Q1025" s="7"/>
      <c r="R1025" s="7"/>
    </row>
    <row r="1026" spans="1:18" x14ac:dyDescent="0.2">
      <c r="A1026" s="7"/>
      <c r="B1026" s="7"/>
      <c r="C1026" s="7"/>
      <c r="D1026" s="7"/>
      <c r="E1026" s="7"/>
      <c r="F1026" s="7"/>
      <c r="G1026" s="7"/>
      <c r="H1026" s="37"/>
      <c r="I1026" s="7"/>
      <c r="J1026" s="7"/>
      <c r="K1026" s="7"/>
      <c r="L1026" s="7"/>
      <c r="M1026" s="7"/>
      <c r="N1026" s="7"/>
      <c r="O1026" s="7"/>
      <c r="P1026" s="7"/>
      <c r="Q1026" s="7"/>
      <c r="R1026" s="7"/>
    </row>
    <row r="1027" spans="1:18" x14ac:dyDescent="0.2">
      <c r="A1027" s="7"/>
      <c r="B1027" s="7"/>
      <c r="C1027" s="7"/>
      <c r="D1027" s="7"/>
      <c r="E1027" s="7"/>
      <c r="F1027" s="7"/>
      <c r="G1027" s="7"/>
      <c r="H1027" s="37"/>
      <c r="I1027" s="7"/>
      <c r="J1027" s="7"/>
      <c r="K1027" s="7"/>
      <c r="L1027" s="7"/>
      <c r="M1027" s="7"/>
      <c r="N1027" s="7"/>
      <c r="O1027" s="7"/>
      <c r="P1027" s="7"/>
      <c r="Q1027" s="7"/>
      <c r="R1027" s="7"/>
    </row>
    <row r="1028" spans="1:18" x14ac:dyDescent="0.2">
      <c r="A1028" s="7"/>
      <c r="B1028" s="7"/>
      <c r="C1028" s="7"/>
      <c r="D1028" s="7"/>
      <c r="E1028" s="7"/>
      <c r="F1028" s="7"/>
      <c r="G1028" s="7"/>
      <c r="H1028" s="37"/>
      <c r="I1028" s="7"/>
      <c r="J1028" s="7"/>
      <c r="K1028" s="7"/>
      <c r="L1028" s="7"/>
      <c r="M1028" s="7"/>
      <c r="N1028" s="7"/>
      <c r="O1028" s="7"/>
      <c r="P1028" s="7"/>
      <c r="Q1028" s="7"/>
      <c r="R1028" s="7"/>
    </row>
    <row r="1029" spans="1:18" x14ac:dyDescent="0.2">
      <c r="A1029" s="7"/>
      <c r="B1029" s="7"/>
      <c r="C1029" s="7"/>
      <c r="D1029" s="7"/>
      <c r="E1029" s="7"/>
      <c r="F1029" s="7"/>
      <c r="G1029" s="7"/>
      <c r="H1029" s="37"/>
      <c r="I1029" s="7"/>
      <c r="J1029" s="7"/>
      <c r="K1029" s="7"/>
      <c r="L1029" s="7"/>
      <c r="M1029" s="7"/>
      <c r="N1029" s="7"/>
      <c r="O1029" s="7"/>
      <c r="P1029" s="7"/>
      <c r="Q1029" s="7"/>
      <c r="R1029" s="7"/>
    </row>
    <row r="1030" spans="1:18" x14ac:dyDescent="0.2">
      <c r="A1030" s="7"/>
      <c r="B1030" s="7"/>
      <c r="C1030" s="7"/>
      <c r="D1030" s="7"/>
      <c r="E1030" s="7"/>
      <c r="F1030" s="7"/>
      <c r="G1030" s="7"/>
      <c r="H1030" s="37"/>
      <c r="I1030" s="7"/>
      <c r="J1030" s="7"/>
      <c r="K1030" s="7"/>
      <c r="L1030" s="7"/>
      <c r="M1030" s="7"/>
      <c r="N1030" s="7"/>
      <c r="O1030" s="7"/>
      <c r="P1030" s="7"/>
      <c r="Q1030" s="7"/>
      <c r="R1030" s="7"/>
    </row>
    <row r="1031" spans="1:18" x14ac:dyDescent="0.2">
      <c r="A1031" s="7"/>
      <c r="B1031" s="7"/>
      <c r="C1031" s="7"/>
      <c r="D1031" s="7"/>
      <c r="E1031" s="7"/>
      <c r="F1031" s="7"/>
      <c r="G1031" s="7"/>
      <c r="H1031" s="37"/>
      <c r="I1031" s="7"/>
      <c r="J1031" s="7"/>
      <c r="K1031" s="7"/>
      <c r="L1031" s="7"/>
      <c r="M1031" s="7"/>
      <c r="N1031" s="7"/>
      <c r="O1031" s="7"/>
      <c r="P1031" s="7"/>
      <c r="Q1031" s="7"/>
      <c r="R1031" s="7"/>
    </row>
    <row r="1032" spans="1:18" x14ac:dyDescent="0.2">
      <c r="A1032" s="7"/>
      <c r="B1032" s="7"/>
      <c r="C1032" s="7"/>
      <c r="D1032" s="7"/>
      <c r="E1032" s="7"/>
      <c r="F1032" s="7"/>
      <c r="G1032" s="7"/>
      <c r="H1032" s="37"/>
      <c r="I1032" s="7"/>
      <c r="J1032" s="7"/>
      <c r="K1032" s="7"/>
      <c r="L1032" s="7"/>
      <c r="M1032" s="7"/>
      <c r="N1032" s="7"/>
      <c r="O1032" s="7"/>
      <c r="P1032" s="7"/>
      <c r="Q1032" s="7"/>
      <c r="R1032" s="7"/>
    </row>
    <row r="1033" spans="1:18" x14ac:dyDescent="0.2">
      <c r="A1033" s="7"/>
      <c r="B1033" s="7"/>
      <c r="C1033" s="7"/>
      <c r="D1033" s="7"/>
      <c r="E1033" s="7"/>
      <c r="F1033" s="7"/>
      <c r="G1033" s="7"/>
      <c r="H1033" s="37"/>
      <c r="I1033" s="7"/>
      <c r="J1033" s="7"/>
      <c r="K1033" s="7"/>
      <c r="L1033" s="7"/>
      <c r="M1033" s="7"/>
      <c r="N1033" s="7"/>
      <c r="O1033" s="7"/>
      <c r="P1033" s="7"/>
      <c r="Q1033" s="7"/>
      <c r="R1033" s="7"/>
    </row>
    <row r="1034" spans="1:18" x14ac:dyDescent="0.2">
      <c r="A1034" s="7"/>
      <c r="B1034" s="7"/>
      <c r="C1034" s="7"/>
      <c r="D1034" s="7"/>
      <c r="E1034" s="7"/>
      <c r="F1034" s="7"/>
      <c r="G1034" s="7"/>
      <c r="H1034" s="37"/>
      <c r="I1034" s="7"/>
      <c r="J1034" s="7"/>
      <c r="K1034" s="7"/>
      <c r="L1034" s="7"/>
      <c r="M1034" s="7"/>
      <c r="N1034" s="7"/>
      <c r="O1034" s="7"/>
      <c r="P1034" s="7"/>
      <c r="Q1034" s="7"/>
      <c r="R1034" s="7"/>
    </row>
    <row r="1035" spans="1:18" x14ac:dyDescent="0.2">
      <c r="A1035" s="7"/>
      <c r="B1035" s="7"/>
      <c r="C1035" s="7"/>
      <c r="D1035" s="7"/>
      <c r="E1035" s="7"/>
      <c r="F1035" s="7"/>
      <c r="G1035" s="7"/>
      <c r="H1035" s="37"/>
      <c r="I1035" s="7"/>
      <c r="J1035" s="7"/>
      <c r="K1035" s="7"/>
      <c r="L1035" s="7"/>
      <c r="M1035" s="7"/>
      <c r="N1035" s="7"/>
      <c r="O1035" s="7"/>
      <c r="P1035" s="7"/>
      <c r="Q1035" s="7"/>
      <c r="R1035" s="7"/>
    </row>
    <row r="1036" spans="1:18" x14ac:dyDescent="0.2">
      <c r="A1036" s="7"/>
      <c r="B1036" s="7"/>
      <c r="C1036" s="7"/>
      <c r="D1036" s="7"/>
      <c r="E1036" s="7"/>
      <c r="F1036" s="7"/>
      <c r="H1036" s="37"/>
      <c r="I1036" s="7"/>
      <c r="J1036" s="7"/>
      <c r="K1036" s="7"/>
      <c r="L1036" s="7"/>
      <c r="M1036" s="7"/>
      <c r="N1036" s="7"/>
      <c r="O1036" s="7"/>
      <c r="P1036" s="7"/>
      <c r="Q1036" s="7"/>
      <c r="R1036" s="7"/>
    </row>
    <row r="1037" spans="1:18" x14ac:dyDescent="0.2">
      <c r="A1037" s="7"/>
      <c r="B1037" s="7"/>
      <c r="C1037" s="7"/>
      <c r="D1037" s="7"/>
      <c r="E1037" s="7"/>
      <c r="F1037" s="7"/>
      <c r="H1037" s="37"/>
      <c r="I1037" s="7"/>
      <c r="J1037" s="7"/>
      <c r="K1037" s="7"/>
      <c r="L1037" s="7"/>
      <c r="M1037" s="7"/>
      <c r="N1037" s="7"/>
      <c r="O1037" s="7"/>
      <c r="P1037" s="7"/>
      <c r="Q1037" s="7"/>
      <c r="R1037" s="7"/>
    </row>
    <row r="1038" spans="1:18" x14ac:dyDescent="0.2">
      <c r="A1038" s="7"/>
      <c r="B1038" s="7"/>
      <c r="C1038" s="7"/>
      <c r="D1038" s="7"/>
      <c r="E1038" s="7"/>
      <c r="F1038" s="7"/>
      <c r="H1038" s="37"/>
      <c r="I1038" s="7"/>
      <c r="J1038" s="7"/>
      <c r="K1038" s="7"/>
      <c r="L1038" s="7"/>
      <c r="M1038" s="7"/>
      <c r="N1038" s="7"/>
      <c r="O1038" s="7"/>
      <c r="P1038" s="7"/>
      <c r="Q1038" s="7"/>
      <c r="R1038" s="7"/>
    </row>
    <row r="1039" spans="1:18" x14ac:dyDescent="0.2">
      <c r="A1039" s="7"/>
      <c r="B1039" s="7"/>
      <c r="C1039" s="7"/>
      <c r="D1039" s="7"/>
      <c r="E1039" s="7"/>
      <c r="F1039" s="7"/>
      <c r="H1039" s="37"/>
      <c r="I1039" s="7"/>
      <c r="J1039" s="7"/>
      <c r="K1039" s="7"/>
      <c r="L1039" s="7"/>
      <c r="M1039" s="7"/>
      <c r="N1039" s="7"/>
      <c r="O1039" s="7"/>
      <c r="P1039" s="7"/>
      <c r="Q1039" s="7"/>
      <c r="R1039" s="7"/>
    </row>
    <row r="1040" spans="1:18" x14ac:dyDescent="0.2">
      <c r="A1040" s="7"/>
      <c r="B1040" s="7"/>
      <c r="C1040" s="7"/>
      <c r="D1040" s="7"/>
      <c r="E1040" s="7"/>
      <c r="F1040" s="7"/>
      <c r="H1040" s="37"/>
      <c r="I1040" s="7"/>
      <c r="J1040" s="7"/>
      <c r="K1040" s="7"/>
      <c r="L1040" s="7"/>
      <c r="M1040" s="7"/>
      <c r="N1040" s="7"/>
      <c r="O1040" s="7"/>
      <c r="P1040" s="7"/>
      <c r="Q1040" s="7"/>
      <c r="R1040" s="7"/>
    </row>
    <row r="1041" spans="1:18" x14ac:dyDescent="0.2">
      <c r="A1041" s="7"/>
      <c r="B1041" s="7"/>
      <c r="C1041" s="7"/>
      <c r="D1041" s="7"/>
      <c r="E1041" s="7"/>
      <c r="F1041" s="7"/>
      <c r="H1041" s="37"/>
      <c r="I1041" s="7"/>
      <c r="J1041" s="7"/>
      <c r="K1041" s="7"/>
      <c r="L1041" s="7"/>
      <c r="M1041" s="7"/>
      <c r="N1041" s="7"/>
      <c r="O1041" s="7"/>
      <c r="P1041" s="7"/>
      <c r="Q1041" s="7"/>
      <c r="R1041" s="7"/>
    </row>
    <row r="1042" spans="1:18" x14ac:dyDescent="0.2">
      <c r="A1042" s="7"/>
      <c r="B1042" s="7"/>
      <c r="C1042" s="7"/>
      <c r="D1042" s="7"/>
      <c r="E1042" s="7"/>
      <c r="F1042" s="7"/>
      <c r="H1042" s="37"/>
      <c r="I1042" s="7"/>
      <c r="J1042" s="7"/>
      <c r="K1042" s="7"/>
      <c r="L1042" s="7"/>
      <c r="M1042" s="7"/>
      <c r="N1042" s="7"/>
      <c r="O1042" s="7"/>
      <c r="P1042" s="7"/>
      <c r="Q1042" s="7"/>
      <c r="R1042" s="7"/>
    </row>
    <row r="1043" spans="1:18" x14ac:dyDescent="0.2">
      <c r="A1043" s="7"/>
      <c r="B1043" s="7"/>
      <c r="C1043" s="7"/>
      <c r="D1043" s="7"/>
      <c r="E1043" s="7"/>
      <c r="F1043" s="7"/>
      <c r="H1043" s="37"/>
      <c r="I1043" s="7"/>
      <c r="J1043" s="7"/>
      <c r="K1043" s="7"/>
      <c r="L1043" s="7"/>
      <c r="M1043" s="7"/>
      <c r="N1043" s="7"/>
      <c r="O1043" s="7"/>
      <c r="P1043" s="7"/>
      <c r="Q1043" s="7"/>
      <c r="R1043" s="7"/>
    </row>
    <row r="1044" spans="1:18" x14ac:dyDescent="0.2">
      <c r="A1044" s="7"/>
      <c r="B1044" s="7"/>
      <c r="C1044" s="7"/>
      <c r="D1044" s="7"/>
      <c r="E1044" s="7"/>
      <c r="F1044" s="7"/>
      <c r="H1044" s="37"/>
      <c r="I1044" s="7"/>
      <c r="J1044" s="7"/>
      <c r="K1044" s="7"/>
      <c r="L1044" s="7"/>
      <c r="M1044" s="7"/>
      <c r="N1044" s="7"/>
      <c r="O1044" s="7"/>
      <c r="P1044" s="7"/>
      <c r="Q1044" s="7"/>
      <c r="R1044" s="7"/>
    </row>
    <row r="1045" spans="1:18" x14ac:dyDescent="0.2">
      <c r="A1045" s="7"/>
      <c r="B1045" s="7"/>
      <c r="C1045" s="7"/>
      <c r="D1045" s="7"/>
      <c r="E1045" s="7"/>
      <c r="F1045" s="7"/>
      <c r="H1045" s="37"/>
      <c r="I1045" s="7"/>
      <c r="J1045" s="7"/>
      <c r="K1045" s="7"/>
      <c r="L1045" s="7"/>
      <c r="M1045" s="7"/>
      <c r="N1045" s="7"/>
      <c r="O1045" s="7"/>
      <c r="P1045" s="7"/>
      <c r="Q1045" s="7"/>
      <c r="R1045" s="7"/>
    </row>
    <row r="1046" spans="1:18" x14ac:dyDescent="0.2">
      <c r="A1046" s="7"/>
      <c r="B1046" s="7"/>
      <c r="C1046" s="7"/>
      <c r="D1046" s="7"/>
      <c r="E1046" s="7"/>
      <c r="F1046" s="7"/>
      <c r="H1046" s="37"/>
      <c r="I1046" s="7"/>
      <c r="J1046" s="7"/>
      <c r="K1046" s="7"/>
      <c r="L1046" s="7"/>
      <c r="M1046" s="7"/>
      <c r="N1046" s="7"/>
      <c r="O1046" s="7"/>
      <c r="P1046" s="7"/>
      <c r="Q1046" s="7"/>
      <c r="R1046" s="7"/>
    </row>
    <row r="1047" spans="1:18" x14ac:dyDescent="0.2">
      <c r="A1047" s="7"/>
      <c r="B1047" s="7"/>
      <c r="C1047" s="7"/>
      <c r="D1047" s="7"/>
      <c r="E1047" s="7"/>
      <c r="F1047" s="7"/>
      <c r="H1047" s="37"/>
      <c r="I1047" s="7"/>
      <c r="J1047" s="7"/>
      <c r="K1047" s="7"/>
      <c r="L1047" s="7"/>
      <c r="M1047" s="7"/>
      <c r="N1047" s="7"/>
      <c r="O1047" s="7"/>
      <c r="P1047" s="7"/>
      <c r="Q1047" s="7"/>
      <c r="R1047" s="7"/>
    </row>
    <row r="1048" spans="1:18" x14ac:dyDescent="0.2">
      <c r="A1048" s="7"/>
      <c r="B1048" s="7"/>
      <c r="C1048" s="7"/>
      <c r="D1048" s="7"/>
      <c r="E1048" s="7"/>
      <c r="F1048" s="7"/>
      <c r="G1048" s="37"/>
      <c r="H1048" s="37"/>
      <c r="I1048" s="7"/>
      <c r="J1048" s="7"/>
      <c r="K1048" s="7"/>
      <c r="L1048" s="7"/>
      <c r="M1048" s="7"/>
      <c r="N1048" s="7"/>
      <c r="O1048" s="7"/>
      <c r="P1048" s="7"/>
      <c r="Q1048" s="7"/>
      <c r="R1048" s="7"/>
    </row>
    <row r="1049" spans="1:18" x14ac:dyDescent="0.2">
      <c r="A1049" s="7"/>
      <c r="B1049" s="7"/>
      <c r="C1049" s="7"/>
      <c r="D1049" s="7"/>
      <c r="E1049" s="7"/>
      <c r="F1049" s="7"/>
      <c r="H1049" s="37"/>
      <c r="I1049" s="7"/>
      <c r="J1049" s="7"/>
      <c r="K1049" s="7"/>
      <c r="L1049" s="7"/>
      <c r="M1049" s="7"/>
      <c r="N1049" s="7"/>
      <c r="O1049" s="7"/>
      <c r="P1049" s="7"/>
      <c r="Q1049" s="7"/>
      <c r="R1049" s="7"/>
    </row>
    <row r="1050" spans="1:18" x14ac:dyDescent="0.2">
      <c r="A1050" s="7"/>
      <c r="B1050" s="7"/>
      <c r="C1050" s="7"/>
      <c r="D1050" s="7"/>
      <c r="E1050" s="7"/>
      <c r="F1050" s="7"/>
      <c r="G1050" s="37"/>
      <c r="H1050" s="37"/>
      <c r="I1050" s="7"/>
      <c r="J1050" s="7"/>
      <c r="K1050" s="7"/>
      <c r="L1050" s="7"/>
      <c r="M1050" s="7"/>
      <c r="N1050" s="7"/>
      <c r="O1050" s="7"/>
      <c r="P1050" s="7"/>
      <c r="Q1050" s="7"/>
      <c r="R1050" s="7"/>
    </row>
    <row r="1051" spans="1:18" x14ac:dyDescent="0.2">
      <c r="A1051" s="7"/>
      <c r="B1051" s="7"/>
      <c r="C1051" s="7"/>
      <c r="D1051" s="7"/>
      <c r="E1051" s="7"/>
      <c r="F1051" s="7"/>
      <c r="G1051" s="37"/>
      <c r="H1051" s="37"/>
      <c r="I1051" s="7"/>
      <c r="J1051" s="7"/>
      <c r="K1051" s="7"/>
      <c r="L1051" s="7"/>
      <c r="M1051" s="7"/>
      <c r="N1051" s="7"/>
      <c r="O1051" s="7"/>
      <c r="P1051" s="7"/>
      <c r="Q1051" s="7"/>
      <c r="R1051" s="7"/>
    </row>
    <row r="1052" spans="1:18" x14ac:dyDescent="0.2">
      <c r="A1052" s="7"/>
      <c r="B1052" s="7"/>
      <c r="C1052" s="7"/>
      <c r="D1052" s="7"/>
      <c r="E1052" s="7"/>
      <c r="F1052" s="7"/>
      <c r="G1052" s="37"/>
      <c r="H1052" s="37"/>
      <c r="I1052" s="7"/>
      <c r="J1052" s="7"/>
      <c r="K1052" s="7"/>
      <c r="L1052" s="7"/>
      <c r="M1052" s="7"/>
      <c r="N1052" s="7"/>
      <c r="O1052" s="7"/>
      <c r="P1052" s="7"/>
      <c r="Q1052" s="7"/>
      <c r="R1052" s="7"/>
    </row>
    <row r="1053" spans="1:18" x14ac:dyDescent="0.2">
      <c r="A1053" s="7"/>
      <c r="B1053" s="7"/>
      <c r="C1053" s="7"/>
      <c r="D1053" s="7"/>
      <c r="E1053" s="7"/>
      <c r="F1053" s="7"/>
      <c r="G1053" s="37"/>
      <c r="H1053" s="37"/>
      <c r="I1053" s="7"/>
      <c r="J1053" s="7"/>
      <c r="K1053" s="7"/>
      <c r="L1053" s="7"/>
      <c r="M1053" s="7"/>
      <c r="N1053" s="7"/>
      <c r="O1053" s="7"/>
      <c r="P1053" s="7"/>
      <c r="Q1053" s="7"/>
      <c r="R1053" s="7"/>
    </row>
    <row r="1054" spans="1:18" x14ac:dyDescent="0.2">
      <c r="A1054" s="7"/>
      <c r="B1054" s="7"/>
      <c r="C1054" s="7"/>
      <c r="D1054" s="7"/>
      <c r="E1054" s="7"/>
      <c r="F1054" s="7"/>
      <c r="G1054" s="37"/>
      <c r="H1054" s="37"/>
      <c r="I1054" s="7"/>
      <c r="J1054" s="7"/>
      <c r="K1054" s="7"/>
      <c r="L1054" s="7"/>
      <c r="M1054" s="7"/>
      <c r="N1054" s="7"/>
      <c r="O1054" s="7"/>
      <c r="P1054" s="7"/>
      <c r="Q1054" s="7"/>
      <c r="R1054" s="7"/>
    </row>
    <row r="1055" spans="1:18" x14ac:dyDescent="0.2">
      <c r="A1055" s="7"/>
      <c r="B1055" s="7"/>
      <c r="C1055" s="7"/>
      <c r="D1055" s="7"/>
      <c r="E1055" s="7"/>
      <c r="F1055" s="7"/>
      <c r="G1055" s="37"/>
      <c r="H1055" s="37"/>
      <c r="I1055" s="7"/>
      <c r="J1055" s="7"/>
      <c r="K1055" s="7"/>
      <c r="L1055" s="7"/>
      <c r="M1055" s="7"/>
      <c r="N1055" s="7"/>
      <c r="O1055" s="7"/>
      <c r="P1055" s="7"/>
      <c r="Q1055" s="7"/>
      <c r="R1055" s="7"/>
    </row>
    <row r="1056" spans="1:18" x14ac:dyDescent="0.2">
      <c r="A1056" s="7"/>
      <c r="B1056" s="7"/>
      <c r="C1056" s="7"/>
      <c r="D1056" s="7"/>
      <c r="E1056" s="7"/>
      <c r="F1056" s="7"/>
      <c r="H1056" s="37"/>
      <c r="I1056" s="7"/>
      <c r="J1056" s="7"/>
      <c r="K1056" s="7"/>
      <c r="L1056" s="7"/>
      <c r="M1056" s="7"/>
      <c r="N1056" s="7"/>
      <c r="O1056" s="7"/>
      <c r="P1056" s="7"/>
      <c r="Q1056" s="7"/>
      <c r="R1056" s="7"/>
    </row>
    <row r="1057" spans="1:18" x14ac:dyDescent="0.2">
      <c r="A1057" s="7"/>
      <c r="B1057" s="7"/>
      <c r="C1057" s="7"/>
      <c r="D1057" s="7"/>
      <c r="E1057" s="7"/>
      <c r="F1057" s="7"/>
      <c r="H1057" s="37"/>
      <c r="I1057" s="7"/>
      <c r="J1057" s="7"/>
      <c r="K1057" s="7"/>
      <c r="L1057" s="7"/>
      <c r="M1057" s="7"/>
      <c r="N1057" s="7"/>
      <c r="O1057" s="7"/>
      <c r="P1057" s="7"/>
      <c r="Q1057" s="7"/>
      <c r="R1057" s="7"/>
    </row>
    <row r="1058" spans="1:18" x14ac:dyDescent="0.2">
      <c r="A1058" s="7"/>
      <c r="B1058" s="7"/>
      <c r="C1058" s="7"/>
      <c r="D1058" s="7"/>
      <c r="E1058" s="7"/>
      <c r="F1058" s="7"/>
      <c r="H1058" s="37"/>
      <c r="I1058" s="7"/>
      <c r="J1058" s="7"/>
      <c r="K1058" s="7"/>
      <c r="L1058" s="7"/>
      <c r="M1058" s="7"/>
      <c r="N1058" s="7"/>
      <c r="O1058" s="7"/>
      <c r="P1058" s="7"/>
      <c r="Q1058" s="7"/>
      <c r="R1058" s="7"/>
    </row>
    <row r="1059" spans="1:18" x14ac:dyDescent="0.2">
      <c r="A1059" s="7"/>
      <c r="B1059" s="7"/>
      <c r="C1059" s="7"/>
      <c r="D1059" s="7"/>
      <c r="E1059" s="7"/>
      <c r="F1059" s="7"/>
      <c r="H1059" s="37"/>
      <c r="I1059" s="7"/>
      <c r="J1059" s="7"/>
      <c r="K1059" s="7"/>
      <c r="L1059" s="7"/>
      <c r="M1059" s="7"/>
      <c r="N1059" s="7"/>
      <c r="O1059" s="7"/>
      <c r="P1059" s="7"/>
      <c r="Q1059" s="7"/>
      <c r="R1059" s="7"/>
    </row>
    <row r="1060" spans="1:18" x14ac:dyDescent="0.2">
      <c r="A1060" s="7"/>
      <c r="B1060" s="7"/>
      <c r="C1060" s="7"/>
      <c r="D1060" s="7"/>
      <c r="E1060" s="7"/>
      <c r="F1060" s="7"/>
      <c r="H1060" s="37"/>
      <c r="I1060" s="7"/>
      <c r="J1060" s="7"/>
      <c r="K1060" s="7"/>
      <c r="L1060" s="7"/>
      <c r="M1060" s="7"/>
      <c r="N1060" s="7"/>
      <c r="O1060" s="7"/>
      <c r="P1060" s="7"/>
      <c r="Q1060" s="7"/>
      <c r="R1060" s="7"/>
    </row>
    <row r="1061" spans="1:18" x14ac:dyDescent="0.2">
      <c r="A1061" s="7"/>
      <c r="B1061" s="7"/>
      <c r="C1061" s="7"/>
      <c r="D1061" s="7"/>
      <c r="E1061" s="7"/>
      <c r="F1061" s="7"/>
      <c r="H1061" s="37"/>
      <c r="I1061" s="7"/>
      <c r="J1061" s="7"/>
      <c r="K1061" s="7"/>
      <c r="L1061" s="7"/>
      <c r="M1061" s="7"/>
      <c r="N1061" s="7"/>
      <c r="O1061" s="7"/>
      <c r="P1061" s="7"/>
      <c r="Q1061" s="7"/>
      <c r="R1061" s="7"/>
    </row>
    <row r="1062" spans="1:18" x14ac:dyDescent="0.2">
      <c r="A1062" s="7"/>
      <c r="B1062" s="7"/>
      <c r="C1062" s="7"/>
      <c r="D1062" s="7"/>
      <c r="E1062" s="7"/>
      <c r="F1062" s="7"/>
      <c r="H1062" s="37"/>
      <c r="I1062" s="7"/>
      <c r="J1062" s="7"/>
      <c r="K1062" s="7"/>
      <c r="L1062" s="7"/>
      <c r="M1062" s="7"/>
      <c r="N1062" s="7"/>
      <c r="O1062" s="7"/>
      <c r="P1062" s="7"/>
      <c r="Q1062" s="7"/>
      <c r="R1062" s="7"/>
    </row>
    <row r="1063" spans="1:18" x14ac:dyDescent="0.2">
      <c r="A1063" s="7"/>
      <c r="B1063" s="7"/>
      <c r="C1063" s="7"/>
      <c r="D1063" s="7"/>
      <c r="E1063" s="7"/>
      <c r="F1063" s="7"/>
      <c r="H1063" s="37"/>
      <c r="I1063" s="7"/>
      <c r="J1063" s="7"/>
      <c r="K1063" s="7"/>
      <c r="L1063" s="7"/>
      <c r="M1063" s="7"/>
      <c r="N1063" s="7"/>
      <c r="O1063" s="7"/>
      <c r="P1063" s="7"/>
      <c r="Q1063" s="7"/>
      <c r="R1063" s="7"/>
    </row>
    <row r="1064" spans="1:18" x14ac:dyDescent="0.2">
      <c r="A1064" s="7"/>
      <c r="B1064" s="7"/>
      <c r="C1064" s="7"/>
      <c r="D1064" s="7"/>
      <c r="E1064" s="7"/>
      <c r="F1064" s="7"/>
      <c r="H1064" s="37"/>
      <c r="I1064" s="7"/>
      <c r="J1064" s="7"/>
      <c r="K1064" s="7"/>
      <c r="L1064" s="7"/>
      <c r="M1064" s="7"/>
      <c r="N1064" s="7"/>
      <c r="O1064" s="7"/>
      <c r="P1064" s="7"/>
      <c r="Q1064" s="7"/>
      <c r="R1064" s="7"/>
    </row>
    <row r="1065" spans="1:18" x14ac:dyDescent="0.2">
      <c r="A1065" s="7"/>
      <c r="B1065" s="7"/>
      <c r="C1065" s="7"/>
      <c r="D1065" s="7"/>
      <c r="E1065" s="7"/>
      <c r="F1065" s="7"/>
      <c r="H1065" s="37"/>
      <c r="I1065" s="7"/>
      <c r="J1065" s="7"/>
      <c r="K1065" s="7"/>
      <c r="L1065" s="7"/>
      <c r="M1065" s="7"/>
      <c r="N1065" s="7"/>
      <c r="O1065" s="7"/>
      <c r="P1065" s="7"/>
      <c r="Q1065" s="7"/>
      <c r="R1065" s="7"/>
    </row>
    <row r="1066" spans="1:18" x14ac:dyDescent="0.2">
      <c r="A1066" s="7"/>
      <c r="B1066" s="7"/>
      <c r="C1066" s="7"/>
      <c r="D1066" s="7"/>
      <c r="E1066" s="7"/>
      <c r="F1066" s="7"/>
      <c r="H1066" s="37"/>
      <c r="I1066" s="7"/>
      <c r="J1066" s="7"/>
      <c r="K1066" s="7"/>
      <c r="L1066" s="7"/>
      <c r="M1066" s="7"/>
      <c r="N1066" s="7"/>
      <c r="O1066" s="7"/>
      <c r="P1066" s="7"/>
      <c r="Q1066" s="7"/>
      <c r="R1066" s="7"/>
    </row>
    <row r="1067" spans="1:18" x14ac:dyDescent="0.2">
      <c r="A1067" s="7"/>
      <c r="B1067" s="7"/>
      <c r="C1067" s="7"/>
      <c r="D1067" s="7"/>
      <c r="E1067" s="7"/>
      <c r="F1067" s="7"/>
      <c r="H1067" s="37"/>
      <c r="I1067" s="7"/>
      <c r="J1067" s="7"/>
      <c r="K1067" s="7"/>
      <c r="L1067" s="7"/>
      <c r="M1067" s="7"/>
      <c r="N1067" s="7"/>
      <c r="O1067" s="7"/>
      <c r="P1067" s="7"/>
      <c r="Q1067" s="7"/>
      <c r="R1067" s="7"/>
    </row>
    <row r="1068" spans="1:18" x14ac:dyDescent="0.2">
      <c r="A1068" s="7"/>
      <c r="B1068" s="7"/>
      <c r="C1068" s="7"/>
      <c r="D1068" s="7"/>
      <c r="E1068" s="7"/>
      <c r="F1068" s="7"/>
      <c r="G1068" s="7"/>
      <c r="H1068" s="37"/>
      <c r="I1068" s="7"/>
      <c r="J1068" s="7"/>
      <c r="K1068" s="7"/>
      <c r="L1068" s="7"/>
      <c r="M1068" s="7"/>
      <c r="N1068" s="7"/>
      <c r="O1068" s="7"/>
      <c r="P1068" s="7"/>
      <c r="Q1068" s="7"/>
      <c r="R1068" s="7"/>
    </row>
    <row r="1069" spans="1:18" x14ac:dyDescent="0.2">
      <c r="A1069" s="7"/>
      <c r="B1069" s="7"/>
      <c r="C1069" s="7"/>
      <c r="D1069" s="7"/>
      <c r="E1069" s="7"/>
      <c r="F1069" s="7"/>
      <c r="G1069" s="7"/>
      <c r="H1069" s="37"/>
      <c r="I1069" s="7"/>
      <c r="J1069" s="7"/>
      <c r="K1069" s="7"/>
      <c r="L1069" s="7"/>
      <c r="M1069" s="7"/>
      <c r="N1069" s="7"/>
      <c r="O1069" s="7"/>
      <c r="P1069" s="7"/>
      <c r="Q1069" s="7"/>
      <c r="R1069" s="7"/>
    </row>
    <row r="1070" spans="1:18" x14ac:dyDescent="0.2">
      <c r="A1070" s="7"/>
      <c r="B1070" s="7"/>
      <c r="C1070" s="7"/>
      <c r="D1070" s="7"/>
      <c r="E1070" s="7"/>
      <c r="F1070" s="7"/>
      <c r="G1070" s="7"/>
      <c r="H1070" s="37"/>
      <c r="I1070" s="7"/>
      <c r="J1070" s="7"/>
      <c r="K1070" s="7"/>
      <c r="L1070" s="7"/>
      <c r="M1070" s="7"/>
      <c r="N1070" s="7"/>
      <c r="O1070" s="7"/>
      <c r="P1070" s="7"/>
      <c r="Q1070" s="7"/>
      <c r="R1070" s="7"/>
    </row>
    <row r="1071" spans="1:18" x14ac:dyDescent="0.2">
      <c r="A1071" s="7"/>
      <c r="B1071" s="7"/>
      <c r="C1071" s="7"/>
      <c r="D1071" s="7"/>
      <c r="E1071" s="7"/>
      <c r="F1071" s="7"/>
      <c r="G1071" s="7"/>
      <c r="H1071" s="37"/>
      <c r="I1071" s="7"/>
      <c r="J1071" s="7"/>
      <c r="K1071" s="7"/>
      <c r="L1071" s="7"/>
      <c r="M1071" s="7"/>
      <c r="N1071" s="7"/>
      <c r="O1071" s="7"/>
      <c r="P1071" s="7"/>
      <c r="Q1071" s="7"/>
      <c r="R1071" s="7"/>
    </row>
    <row r="1072" spans="1:18" x14ac:dyDescent="0.2">
      <c r="A1072" s="7"/>
      <c r="B1072" s="7"/>
      <c r="C1072" s="7"/>
      <c r="D1072" s="7"/>
      <c r="E1072" s="7"/>
      <c r="F1072" s="7"/>
      <c r="G1072" s="7"/>
      <c r="H1072" s="37"/>
      <c r="I1072" s="7"/>
      <c r="J1072" s="7"/>
      <c r="K1072" s="7"/>
      <c r="L1072" s="7"/>
      <c r="M1072" s="7"/>
      <c r="N1072" s="7"/>
      <c r="O1072" s="7"/>
      <c r="P1072" s="7"/>
      <c r="Q1072" s="7"/>
      <c r="R1072" s="7"/>
    </row>
    <row r="1073" spans="1:18" x14ac:dyDescent="0.2">
      <c r="A1073" s="7"/>
      <c r="B1073" s="7"/>
      <c r="C1073" s="7"/>
      <c r="D1073" s="7"/>
      <c r="E1073" s="7"/>
      <c r="F1073" s="7"/>
      <c r="G1073" s="7"/>
      <c r="H1073" s="37"/>
      <c r="I1073" s="7"/>
      <c r="J1073" s="7"/>
      <c r="K1073" s="7"/>
      <c r="L1073" s="7"/>
      <c r="M1073" s="7"/>
      <c r="N1073" s="7"/>
      <c r="O1073" s="7"/>
      <c r="P1073" s="7"/>
      <c r="Q1073" s="7"/>
      <c r="R1073" s="7"/>
    </row>
    <row r="1074" spans="1:18" x14ac:dyDescent="0.2">
      <c r="A1074" s="7"/>
      <c r="B1074" s="7"/>
      <c r="C1074" s="7"/>
      <c r="D1074" s="7"/>
      <c r="E1074" s="7"/>
      <c r="F1074" s="7"/>
      <c r="G1074" s="7"/>
      <c r="H1074" s="37"/>
      <c r="I1074" s="7"/>
      <c r="J1074" s="7"/>
      <c r="K1074" s="7"/>
      <c r="L1074" s="7"/>
      <c r="M1074" s="7"/>
      <c r="N1074" s="7"/>
      <c r="O1074" s="7"/>
      <c r="P1074" s="7"/>
      <c r="Q1074" s="7"/>
      <c r="R1074" s="7"/>
    </row>
    <row r="1075" spans="1:18" x14ac:dyDescent="0.2">
      <c r="A1075" s="7"/>
      <c r="B1075" s="7"/>
      <c r="C1075" s="7"/>
      <c r="D1075" s="7"/>
      <c r="E1075" s="7"/>
      <c r="F1075" s="7"/>
      <c r="G1075" s="7"/>
      <c r="H1075" s="37"/>
      <c r="I1075" s="7"/>
      <c r="J1075" s="7"/>
      <c r="K1075" s="7"/>
      <c r="L1075" s="7"/>
      <c r="M1075" s="7"/>
      <c r="N1075" s="7"/>
      <c r="O1075" s="7"/>
      <c r="P1075" s="7"/>
      <c r="Q1075" s="7"/>
      <c r="R1075" s="7"/>
    </row>
    <row r="1076" spans="1:18" x14ac:dyDescent="0.2">
      <c r="A1076" s="7"/>
      <c r="B1076" s="7"/>
      <c r="C1076" s="7"/>
      <c r="D1076" s="7"/>
      <c r="E1076" s="7"/>
      <c r="F1076" s="7"/>
      <c r="G1076" s="7"/>
      <c r="H1076" s="37"/>
      <c r="I1076" s="7"/>
      <c r="J1076" s="7"/>
      <c r="K1076" s="7"/>
      <c r="L1076" s="7"/>
      <c r="M1076" s="7"/>
      <c r="N1076" s="7"/>
      <c r="O1076" s="7"/>
      <c r="P1076" s="7"/>
      <c r="Q1076" s="7"/>
      <c r="R1076" s="7"/>
    </row>
    <row r="1077" spans="1:18" x14ac:dyDescent="0.2">
      <c r="A1077" s="7"/>
      <c r="B1077" s="7"/>
      <c r="C1077" s="7"/>
      <c r="D1077" s="7"/>
      <c r="E1077" s="7"/>
      <c r="F1077" s="7"/>
      <c r="G1077" s="7"/>
      <c r="H1077" s="37"/>
      <c r="I1077" s="7"/>
      <c r="J1077" s="7"/>
      <c r="K1077" s="7"/>
      <c r="L1077" s="7"/>
      <c r="M1077" s="7"/>
      <c r="N1077" s="7"/>
      <c r="O1077" s="7"/>
      <c r="P1077" s="7"/>
      <c r="Q1077" s="7"/>
      <c r="R1077" s="7"/>
    </row>
    <row r="1078" spans="1:18" x14ac:dyDescent="0.2">
      <c r="A1078" s="7"/>
      <c r="B1078" s="7"/>
      <c r="C1078" s="7"/>
      <c r="D1078" s="7"/>
      <c r="E1078" s="7"/>
      <c r="F1078" s="7"/>
      <c r="G1078" s="7"/>
      <c r="H1078" s="37"/>
      <c r="I1078" s="7"/>
      <c r="J1078" s="7"/>
      <c r="K1078" s="7"/>
      <c r="L1078" s="7"/>
      <c r="M1078" s="7"/>
      <c r="N1078" s="7"/>
      <c r="O1078" s="7"/>
      <c r="P1078" s="7"/>
      <c r="Q1078" s="7"/>
      <c r="R1078" s="7"/>
    </row>
    <row r="1079" spans="1:18" x14ac:dyDescent="0.2">
      <c r="A1079" s="7"/>
      <c r="B1079" s="7"/>
      <c r="C1079" s="7"/>
      <c r="D1079" s="7"/>
      <c r="E1079" s="7"/>
      <c r="F1079" s="7"/>
      <c r="G1079" s="7"/>
      <c r="H1079" s="37"/>
      <c r="I1079" s="7"/>
      <c r="J1079" s="7"/>
      <c r="K1079" s="7"/>
      <c r="L1079" s="7"/>
      <c r="M1079" s="7"/>
      <c r="N1079" s="7"/>
      <c r="O1079" s="7"/>
      <c r="P1079" s="7"/>
      <c r="Q1079" s="7"/>
      <c r="R1079" s="7"/>
    </row>
    <row r="1080" spans="1:18" x14ac:dyDescent="0.2">
      <c r="A1080" s="7"/>
      <c r="B1080" s="7"/>
      <c r="C1080" s="7"/>
      <c r="D1080" s="7"/>
      <c r="E1080" s="7"/>
      <c r="F1080" s="7"/>
      <c r="G1080" s="7"/>
      <c r="H1080" s="37"/>
      <c r="I1080" s="7"/>
      <c r="J1080" s="7"/>
      <c r="K1080" s="7"/>
      <c r="L1080" s="7"/>
      <c r="M1080" s="7"/>
      <c r="N1080" s="7"/>
      <c r="O1080" s="7"/>
      <c r="P1080" s="7"/>
      <c r="Q1080" s="7"/>
      <c r="R1080" s="7"/>
    </row>
    <row r="1081" spans="1:18" x14ac:dyDescent="0.2">
      <c r="A1081" s="7"/>
      <c r="B1081" s="7"/>
      <c r="C1081" s="7"/>
      <c r="D1081" s="7"/>
      <c r="E1081" s="7"/>
      <c r="F1081" s="7"/>
      <c r="G1081" s="7"/>
      <c r="H1081" s="37"/>
      <c r="I1081" s="7"/>
      <c r="J1081" s="7"/>
      <c r="K1081" s="7"/>
      <c r="L1081" s="7"/>
      <c r="M1081" s="7"/>
      <c r="N1081" s="7"/>
      <c r="O1081" s="7"/>
      <c r="P1081" s="7"/>
      <c r="Q1081" s="7"/>
      <c r="R1081" s="7"/>
    </row>
    <row r="1082" spans="1:18" x14ac:dyDescent="0.2">
      <c r="A1082" s="7"/>
      <c r="B1082" s="7"/>
      <c r="C1082" s="7"/>
      <c r="D1082" s="7"/>
      <c r="E1082" s="7"/>
      <c r="F1082" s="7"/>
      <c r="G1082" s="7"/>
      <c r="H1082" s="37"/>
      <c r="I1082" s="7"/>
      <c r="J1082" s="7"/>
      <c r="K1082" s="7"/>
      <c r="L1082" s="7"/>
      <c r="M1082" s="7"/>
      <c r="N1082" s="7"/>
      <c r="O1082" s="7"/>
      <c r="P1082" s="7"/>
      <c r="Q1082" s="7"/>
      <c r="R1082" s="7"/>
    </row>
    <row r="1083" spans="1:18" x14ac:dyDescent="0.2">
      <c r="A1083" s="7"/>
      <c r="B1083" s="7"/>
      <c r="C1083" s="7"/>
      <c r="D1083" s="7"/>
      <c r="E1083" s="7"/>
      <c r="F1083" s="7"/>
      <c r="G1083" s="7"/>
      <c r="H1083" s="37"/>
      <c r="I1083" s="7"/>
      <c r="J1083" s="7"/>
      <c r="K1083" s="7"/>
      <c r="L1083" s="7"/>
      <c r="M1083" s="7"/>
      <c r="N1083" s="7"/>
      <c r="O1083" s="7"/>
      <c r="P1083" s="7"/>
      <c r="Q1083" s="7"/>
      <c r="R1083" s="7"/>
    </row>
    <row r="1084" spans="1:18" x14ac:dyDescent="0.2">
      <c r="A1084" s="7"/>
      <c r="B1084" s="7"/>
      <c r="C1084" s="7"/>
      <c r="D1084" s="7"/>
      <c r="E1084" s="7"/>
      <c r="F1084" s="7"/>
      <c r="G1084" s="7"/>
      <c r="H1084" s="37"/>
      <c r="I1084" s="7"/>
      <c r="J1084" s="7"/>
      <c r="K1084" s="7"/>
      <c r="L1084" s="7"/>
      <c r="M1084" s="7"/>
      <c r="N1084" s="7"/>
      <c r="O1084" s="7"/>
      <c r="P1084" s="7"/>
      <c r="Q1084" s="7"/>
      <c r="R1084" s="7"/>
    </row>
    <row r="1085" spans="1:18" x14ac:dyDescent="0.2">
      <c r="A1085" s="7"/>
      <c r="B1085" s="7"/>
      <c r="C1085" s="7"/>
      <c r="D1085" s="7"/>
      <c r="E1085" s="7"/>
      <c r="F1085" s="7"/>
      <c r="G1085" s="7"/>
      <c r="H1085" s="37"/>
      <c r="I1085" s="7"/>
      <c r="J1085" s="7"/>
      <c r="K1085" s="7"/>
      <c r="L1085" s="7"/>
      <c r="M1085" s="7"/>
      <c r="N1085" s="7"/>
      <c r="O1085" s="7"/>
      <c r="P1085" s="7"/>
      <c r="Q1085" s="7"/>
      <c r="R1085" s="7"/>
    </row>
    <row r="1086" spans="1:18" x14ac:dyDescent="0.2">
      <c r="A1086" s="7"/>
      <c r="B1086" s="7"/>
      <c r="C1086" s="7"/>
      <c r="D1086" s="7"/>
      <c r="E1086" s="7"/>
      <c r="F1086" s="7"/>
      <c r="G1086" s="7"/>
      <c r="H1086" s="37"/>
      <c r="I1086" s="7"/>
      <c r="J1086" s="7"/>
      <c r="K1086" s="7"/>
      <c r="L1086" s="7"/>
      <c r="M1086" s="7"/>
      <c r="N1086" s="7"/>
      <c r="O1086" s="7"/>
      <c r="P1086" s="7"/>
      <c r="Q1086" s="7"/>
      <c r="R1086" s="7"/>
    </row>
    <row r="1087" spans="1:18" x14ac:dyDescent="0.2">
      <c r="A1087" s="7"/>
      <c r="B1087" s="7"/>
      <c r="C1087" s="7"/>
      <c r="D1087" s="7"/>
      <c r="E1087" s="7"/>
      <c r="F1087" s="7"/>
      <c r="G1087" s="7"/>
      <c r="H1087" s="37"/>
      <c r="I1087" s="7"/>
      <c r="J1087" s="7"/>
      <c r="K1087" s="7"/>
      <c r="L1087" s="7"/>
      <c r="M1087" s="7"/>
      <c r="N1087" s="7"/>
      <c r="O1087" s="7"/>
      <c r="P1087" s="7"/>
      <c r="Q1087" s="7"/>
      <c r="R1087" s="7"/>
    </row>
    <row r="1088" spans="1:18" x14ac:dyDescent="0.2">
      <c r="A1088" s="7"/>
      <c r="B1088" s="7"/>
      <c r="C1088" s="7"/>
      <c r="D1088" s="7"/>
      <c r="E1088" s="7"/>
      <c r="F1088" s="7"/>
      <c r="G1088" s="7"/>
      <c r="H1088" s="37"/>
      <c r="I1088" s="7"/>
      <c r="J1088" s="7"/>
      <c r="K1088" s="7"/>
      <c r="L1088" s="7"/>
      <c r="M1088" s="7"/>
      <c r="N1088" s="7"/>
      <c r="O1088" s="7"/>
      <c r="P1088" s="7"/>
      <c r="Q1088" s="7"/>
      <c r="R1088" s="7"/>
    </row>
    <row r="1089" spans="1:18" x14ac:dyDescent="0.2">
      <c r="A1089" s="7"/>
      <c r="B1089" s="7"/>
      <c r="C1089" s="7"/>
      <c r="D1089" s="7"/>
      <c r="E1089" s="7"/>
      <c r="F1089" s="7"/>
      <c r="G1089" s="7"/>
      <c r="H1089" s="37"/>
      <c r="I1089" s="7"/>
      <c r="J1089" s="7"/>
      <c r="K1089" s="7"/>
      <c r="L1089" s="7"/>
      <c r="M1089" s="7"/>
      <c r="N1089" s="7"/>
      <c r="O1089" s="7"/>
      <c r="P1089" s="7"/>
      <c r="Q1089" s="7"/>
      <c r="R1089" s="7"/>
    </row>
    <row r="1090" spans="1:18" x14ac:dyDescent="0.2">
      <c r="A1090" s="7"/>
      <c r="B1090" s="7"/>
      <c r="C1090" s="7"/>
      <c r="D1090" s="7"/>
      <c r="E1090" s="7"/>
      <c r="F1090" s="7"/>
      <c r="G1090" s="7"/>
      <c r="H1090" s="37"/>
      <c r="I1090" s="7"/>
      <c r="J1090" s="7"/>
      <c r="K1090" s="7"/>
      <c r="L1090" s="7"/>
      <c r="M1090" s="7"/>
      <c r="N1090" s="7"/>
      <c r="O1090" s="7"/>
      <c r="P1090" s="7"/>
      <c r="Q1090" s="7"/>
      <c r="R1090" s="7"/>
    </row>
    <row r="1091" spans="1:18" x14ac:dyDescent="0.2">
      <c r="A1091" s="7"/>
      <c r="B1091" s="7"/>
      <c r="C1091" s="7"/>
      <c r="D1091" s="7"/>
      <c r="E1091" s="7"/>
      <c r="F1091" s="7"/>
      <c r="G1091" s="7"/>
      <c r="H1091" s="37"/>
      <c r="I1091" s="7"/>
      <c r="J1091" s="7"/>
      <c r="K1091" s="7"/>
      <c r="L1091" s="7"/>
      <c r="M1091" s="7"/>
      <c r="N1091" s="7"/>
      <c r="O1091" s="7"/>
      <c r="P1091" s="7"/>
      <c r="Q1091" s="7"/>
      <c r="R1091" s="7"/>
    </row>
    <row r="1092" spans="1:18" x14ac:dyDescent="0.2">
      <c r="A1092" s="7"/>
      <c r="B1092" s="7"/>
      <c r="C1092" s="7"/>
      <c r="D1092" s="7"/>
      <c r="E1092" s="7"/>
      <c r="F1092" s="7"/>
      <c r="G1092" s="7"/>
      <c r="H1092" s="37"/>
      <c r="I1092" s="7"/>
      <c r="J1092" s="7"/>
      <c r="K1092" s="7"/>
      <c r="L1092" s="7"/>
      <c r="M1092" s="7"/>
      <c r="N1092" s="7"/>
      <c r="O1092" s="7"/>
      <c r="P1092" s="7"/>
      <c r="Q1092" s="7"/>
      <c r="R1092" s="7"/>
    </row>
    <row r="1093" spans="1:18" x14ac:dyDescent="0.2">
      <c r="A1093" s="7"/>
      <c r="B1093" s="7"/>
      <c r="C1093" s="7"/>
      <c r="D1093" s="7"/>
      <c r="E1093" s="7"/>
      <c r="F1093" s="7"/>
      <c r="G1093" s="7"/>
      <c r="H1093" s="37"/>
      <c r="I1093" s="7"/>
      <c r="J1093" s="7"/>
      <c r="K1093" s="7"/>
      <c r="L1093" s="7"/>
      <c r="M1093" s="7"/>
      <c r="N1093" s="7"/>
      <c r="O1093" s="7"/>
      <c r="P1093" s="7"/>
      <c r="Q1093" s="7"/>
      <c r="R1093" s="7"/>
    </row>
    <row r="1094" spans="1:18" x14ac:dyDescent="0.2">
      <c r="A1094" s="7"/>
      <c r="B1094" s="7"/>
      <c r="C1094" s="7"/>
      <c r="D1094" s="7"/>
      <c r="E1094" s="7"/>
      <c r="F1094" s="7"/>
      <c r="G1094" s="7"/>
      <c r="H1094" s="37"/>
      <c r="I1094" s="7"/>
      <c r="J1094" s="7"/>
      <c r="K1094" s="7"/>
      <c r="L1094" s="7"/>
      <c r="M1094" s="7"/>
      <c r="N1094" s="7"/>
      <c r="O1094" s="7"/>
      <c r="P1094" s="7"/>
      <c r="Q1094" s="7"/>
      <c r="R1094" s="7"/>
    </row>
    <row r="1095" spans="1:18" x14ac:dyDescent="0.2">
      <c r="A1095" s="7"/>
      <c r="B1095" s="7"/>
      <c r="C1095" s="7"/>
      <c r="D1095" s="7"/>
      <c r="E1095" s="7"/>
      <c r="F1095" s="7"/>
      <c r="G1095" s="7"/>
      <c r="H1095" s="37"/>
      <c r="I1095" s="7"/>
      <c r="J1095" s="7"/>
      <c r="K1095" s="7"/>
      <c r="L1095" s="7"/>
      <c r="M1095" s="7"/>
      <c r="N1095" s="7"/>
      <c r="O1095" s="7"/>
      <c r="P1095" s="7"/>
      <c r="Q1095" s="7"/>
      <c r="R1095" s="7"/>
    </row>
    <row r="1096" spans="1:18" x14ac:dyDescent="0.2">
      <c r="A1096" s="7"/>
      <c r="B1096" s="7"/>
      <c r="C1096" s="7"/>
      <c r="D1096" s="7"/>
      <c r="E1096" s="7"/>
      <c r="F1096" s="7"/>
      <c r="G1096" s="7"/>
      <c r="H1096" s="37"/>
      <c r="I1096" s="7"/>
      <c r="J1096" s="7"/>
      <c r="K1096" s="7"/>
      <c r="L1096" s="7"/>
      <c r="M1096" s="7"/>
      <c r="N1096" s="7"/>
      <c r="O1096" s="7"/>
      <c r="P1096" s="7"/>
      <c r="Q1096" s="7"/>
      <c r="R1096" s="7"/>
    </row>
    <row r="1097" spans="1:18" x14ac:dyDescent="0.2">
      <c r="A1097" s="7"/>
      <c r="B1097" s="7"/>
      <c r="C1097" s="7"/>
      <c r="D1097" s="7"/>
      <c r="E1097" s="7"/>
      <c r="F1097" s="7"/>
      <c r="G1097" s="7"/>
      <c r="H1097" s="37"/>
      <c r="I1097" s="7"/>
      <c r="J1097" s="7"/>
      <c r="K1097" s="7"/>
      <c r="L1097" s="7"/>
      <c r="M1097" s="7"/>
      <c r="N1097" s="7"/>
      <c r="O1097" s="7"/>
      <c r="P1097" s="7"/>
      <c r="Q1097" s="7"/>
      <c r="R1097" s="7"/>
    </row>
    <row r="1098" spans="1:18" x14ac:dyDescent="0.2">
      <c r="A1098" s="7"/>
      <c r="B1098" s="7"/>
      <c r="C1098" s="7"/>
      <c r="D1098" s="7"/>
      <c r="E1098" s="7"/>
      <c r="F1098" s="7"/>
      <c r="G1098" s="7"/>
      <c r="H1098" s="37"/>
      <c r="I1098" s="7"/>
      <c r="J1098" s="7"/>
      <c r="K1098" s="7"/>
      <c r="L1098" s="7"/>
      <c r="M1098" s="7"/>
      <c r="N1098" s="7"/>
      <c r="O1098" s="7"/>
      <c r="P1098" s="7"/>
      <c r="Q1098" s="7"/>
      <c r="R1098" s="7"/>
    </row>
    <row r="1099" spans="1:18" x14ac:dyDescent="0.2">
      <c r="A1099" s="7"/>
      <c r="B1099" s="7"/>
      <c r="C1099" s="7"/>
      <c r="D1099" s="7"/>
      <c r="E1099" s="7"/>
      <c r="F1099" s="7"/>
      <c r="G1099" s="7"/>
      <c r="H1099" s="37"/>
      <c r="I1099" s="7"/>
      <c r="J1099" s="7"/>
      <c r="K1099" s="7"/>
      <c r="L1099" s="7"/>
      <c r="M1099" s="7"/>
      <c r="N1099" s="7"/>
      <c r="O1099" s="7"/>
      <c r="P1099" s="7"/>
      <c r="Q1099" s="7"/>
      <c r="R1099" s="7"/>
    </row>
    <row r="1100" spans="1:18" x14ac:dyDescent="0.2">
      <c r="A1100" s="7"/>
      <c r="B1100" s="7"/>
      <c r="C1100" s="7"/>
      <c r="D1100" s="7"/>
      <c r="E1100" s="7"/>
      <c r="F1100" s="7"/>
      <c r="G1100" s="7"/>
      <c r="H1100" s="37"/>
      <c r="I1100" s="7"/>
      <c r="J1100" s="7"/>
      <c r="K1100" s="7"/>
      <c r="L1100" s="7"/>
      <c r="M1100" s="7"/>
      <c r="N1100" s="7"/>
      <c r="O1100" s="7"/>
      <c r="P1100" s="7"/>
      <c r="Q1100" s="7"/>
      <c r="R1100" s="7"/>
    </row>
    <row r="1101" spans="1:18" x14ac:dyDescent="0.2">
      <c r="A1101" s="7"/>
      <c r="B1101" s="7"/>
      <c r="C1101" s="7"/>
      <c r="D1101" s="7"/>
      <c r="E1101" s="7"/>
      <c r="F1101" s="7"/>
      <c r="G1101" s="7"/>
      <c r="H1101" s="37"/>
      <c r="I1101" s="7"/>
      <c r="J1101" s="7"/>
      <c r="K1101" s="7"/>
      <c r="L1101" s="7"/>
      <c r="M1101" s="7"/>
      <c r="N1101" s="7"/>
      <c r="O1101" s="7"/>
      <c r="P1101" s="7"/>
      <c r="Q1101" s="7"/>
      <c r="R1101" s="7"/>
    </row>
    <row r="1102" spans="1:18" x14ac:dyDescent="0.2">
      <c r="A1102" s="7"/>
      <c r="B1102" s="7"/>
      <c r="C1102" s="7"/>
      <c r="D1102" s="7"/>
      <c r="E1102" s="7"/>
      <c r="F1102" s="7"/>
      <c r="G1102" s="7"/>
      <c r="H1102" s="37"/>
      <c r="I1102" s="7"/>
      <c r="J1102" s="7"/>
      <c r="K1102" s="7"/>
      <c r="L1102" s="7"/>
      <c r="M1102" s="7"/>
      <c r="N1102" s="7"/>
      <c r="O1102" s="7"/>
      <c r="P1102" s="7"/>
      <c r="Q1102" s="7"/>
      <c r="R1102" s="7"/>
    </row>
    <row r="1103" spans="1:18" x14ac:dyDescent="0.2">
      <c r="A1103" s="7"/>
      <c r="B1103" s="7"/>
      <c r="C1103" s="7"/>
      <c r="D1103" s="7"/>
      <c r="E1103" s="7"/>
      <c r="F1103" s="7"/>
      <c r="G1103" s="7"/>
      <c r="H1103" s="37"/>
      <c r="I1103" s="7"/>
      <c r="J1103" s="7"/>
      <c r="K1103" s="7"/>
      <c r="L1103" s="7"/>
      <c r="M1103" s="7"/>
      <c r="N1103" s="7"/>
      <c r="O1103" s="7"/>
      <c r="P1103" s="7"/>
      <c r="Q1103" s="7"/>
      <c r="R1103" s="7"/>
    </row>
    <row r="1104" spans="1:18" x14ac:dyDescent="0.2">
      <c r="A1104" s="7"/>
      <c r="B1104" s="7"/>
      <c r="C1104" s="7"/>
      <c r="D1104" s="7"/>
      <c r="E1104" s="7"/>
      <c r="F1104" s="7"/>
      <c r="G1104" s="7"/>
      <c r="H1104" s="37"/>
      <c r="I1104" s="7"/>
      <c r="J1104" s="7"/>
      <c r="K1104" s="7"/>
      <c r="L1104" s="7"/>
      <c r="M1104" s="7"/>
      <c r="N1104" s="7"/>
      <c r="O1104" s="7"/>
      <c r="P1104" s="7"/>
      <c r="Q1104" s="7"/>
      <c r="R1104" s="7"/>
    </row>
    <row r="1105" spans="1:18" x14ac:dyDescent="0.2">
      <c r="A1105" s="7"/>
      <c r="B1105" s="7"/>
      <c r="C1105" s="7"/>
      <c r="D1105" s="7"/>
      <c r="E1105" s="7"/>
      <c r="F1105" s="7"/>
      <c r="G1105" s="7"/>
      <c r="H1105" s="37"/>
      <c r="I1105" s="7"/>
      <c r="J1105" s="7"/>
      <c r="K1105" s="7"/>
      <c r="L1105" s="7"/>
      <c r="M1105" s="7"/>
      <c r="N1105" s="7"/>
      <c r="O1105" s="7"/>
      <c r="P1105" s="7"/>
      <c r="Q1105" s="7"/>
      <c r="R1105" s="7"/>
    </row>
    <row r="1106" spans="1:18" x14ac:dyDescent="0.2">
      <c r="A1106" s="7"/>
      <c r="B1106" s="7"/>
      <c r="C1106" s="7"/>
      <c r="D1106" s="7"/>
      <c r="E1106" s="7"/>
      <c r="F1106" s="7"/>
      <c r="G1106" s="7"/>
      <c r="H1106" s="37"/>
      <c r="I1106" s="7"/>
      <c r="J1106" s="7"/>
      <c r="K1106" s="7"/>
      <c r="L1106" s="7"/>
      <c r="M1106" s="7"/>
      <c r="N1106" s="7"/>
      <c r="O1106" s="7"/>
      <c r="P1106" s="7"/>
      <c r="Q1106" s="7"/>
      <c r="R1106" s="7"/>
    </row>
    <row r="1107" spans="1:18" x14ac:dyDescent="0.2">
      <c r="A1107" s="7"/>
      <c r="B1107" s="7"/>
      <c r="C1107" s="7"/>
      <c r="D1107" s="7"/>
      <c r="E1107" s="7"/>
      <c r="F1107" s="7"/>
      <c r="G1107" s="7"/>
      <c r="H1107" s="37"/>
      <c r="I1107" s="7"/>
      <c r="J1107" s="7"/>
      <c r="K1107" s="7"/>
      <c r="L1107" s="7"/>
      <c r="M1107" s="7"/>
      <c r="N1107" s="7"/>
      <c r="O1107" s="7"/>
      <c r="P1107" s="7"/>
      <c r="Q1107" s="7"/>
      <c r="R1107" s="7"/>
    </row>
    <row r="1108" spans="1:18" x14ac:dyDescent="0.2">
      <c r="A1108" s="7"/>
      <c r="B1108" s="7"/>
      <c r="C1108" s="7"/>
      <c r="D1108" s="7"/>
      <c r="E1108" s="7"/>
      <c r="F1108" s="7"/>
      <c r="G1108" s="7"/>
      <c r="H1108" s="37"/>
      <c r="I1108" s="7"/>
      <c r="J1108" s="7"/>
      <c r="K1108" s="7"/>
      <c r="L1108" s="7"/>
      <c r="M1108" s="7"/>
      <c r="N1108" s="7"/>
      <c r="O1108" s="7"/>
      <c r="P1108" s="7"/>
      <c r="Q1108" s="7"/>
      <c r="R1108" s="7"/>
    </row>
    <row r="1109" spans="1:18" x14ac:dyDescent="0.2">
      <c r="A1109" s="7"/>
      <c r="B1109" s="7"/>
      <c r="C1109" s="7"/>
      <c r="D1109" s="7"/>
      <c r="E1109" s="7"/>
      <c r="F1109" s="7"/>
      <c r="G1109" s="7"/>
      <c r="H1109" s="37"/>
      <c r="I1109" s="7"/>
      <c r="J1109" s="7"/>
      <c r="K1109" s="7"/>
      <c r="L1109" s="7"/>
      <c r="M1109" s="7"/>
      <c r="N1109" s="7"/>
      <c r="O1109" s="7"/>
      <c r="P1109" s="7"/>
      <c r="Q1109" s="7"/>
      <c r="R1109" s="7"/>
    </row>
    <row r="1110" spans="1:18" x14ac:dyDescent="0.2">
      <c r="A1110" s="7"/>
      <c r="B1110" s="7"/>
      <c r="C1110" s="7"/>
      <c r="D1110" s="7"/>
      <c r="E1110" s="7"/>
      <c r="F1110" s="7"/>
      <c r="G1110" s="7"/>
      <c r="H1110" s="37"/>
      <c r="I1110" s="7"/>
      <c r="J1110" s="7"/>
      <c r="K1110" s="7"/>
      <c r="L1110" s="7"/>
      <c r="M1110" s="7"/>
      <c r="N1110" s="7"/>
      <c r="O1110" s="7"/>
      <c r="P1110" s="7"/>
      <c r="Q1110" s="7"/>
      <c r="R1110" s="7"/>
    </row>
    <row r="1111" spans="1:18" x14ac:dyDescent="0.2">
      <c r="A1111" s="7"/>
      <c r="B1111" s="7"/>
      <c r="C1111" s="7"/>
      <c r="D1111" s="7"/>
      <c r="E1111" s="7"/>
      <c r="F1111" s="7"/>
      <c r="G1111" s="7"/>
      <c r="H1111" s="37"/>
      <c r="I1111" s="7"/>
      <c r="J1111" s="7"/>
      <c r="K1111" s="7"/>
      <c r="L1111" s="7"/>
      <c r="M1111" s="7"/>
      <c r="N1111" s="7"/>
      <c r="O1111" s="7"/>
      <c r="P1111" s="7"/>
      <c r="Q1111" s="7"/>
      <c r="R1111" s="7"/>
    </row>
    <row r="1112" spans="1:18" x14ac:dyDescent="0.2">
      <c r="A1112" s="7"/>
      <c r="B1112" s="7"/>
      <c r="C1112" s="7"/>
      <c r="D1112" s="7"/>
      <c r="E1112" s="7"/>
      <c r="F1112" s="7"/>
      <c r="G1112" s="7"/>
      <c r="H1112" s="37"/>
      <c r="I1112" s="7"/>
      <c r="J1112" s="7"/>
      <c r="K1112" s="7"/>
      <c r="L1112" s="7"/>
      <c r="M1112" s="7"/>
      <c r="N1112" s="7"/>
      <c r="O1112" s="7"/>
      <c r="P1112" s="7"/>
      <c r="Q1112" s="7"/>
      <c r="R1112" s="7"/>
    </row>
    <row r="1113" spans="1:18" x14ac:dyDescent="0.2">
      <c r="A1113" s="7"/>
      <c r="B1113" s="7"/>
      <c r="C1113" s="7"/>
      <c r="D1113" s="7"/>
      <c r="E1113" s="7"/>
      <c r="F1113" s="7"/>
      <c r="G1113" s="7"/>
      <c r="H1113" s="37"/>
      <c r="I1113" s="7"/>
      <c r="J1113" s="7"/>
      <c r="K1113" s="7"/>
      <c r="L1113" s="7"/>
      <c r="M1113" s="7"/>
      <c r="N1113" s="7"/>
      <c r="O1113" s="7"/>
      <c r="P1113" s="7"/>
      <c r="Q1113" s="7"/>
      <c r="R1113" s="7"/>
    </row>
    <row r="1114" spans="1:18" x14ac:dyDescent="0.2">
      <c r="A1114" s="7"/>
      <c r="B1114" s="7"/>
      <c r="C1114" s="7"/>
      <c r="D1114" s="7"/>
      <c r="E1114" s="7"/>
      <c r="F1114" s="7"/>
      <c r="G1114" s="7"/>
      <c r="H1114" s="37"/>
      <c r="I1114" s="7"/>
      <c r="J1114" s="7"/>
      <c r="K1114" s="7"/>
      <c r="L1114" s="7"/>
      <c r="M1114" s="7"/>
      <c r="N1114" s="7"/>
      <c r="O1114" s="7"/>
      <c r="P1114" s="7"/>
      <c r="Q1114" s="7"/>
      <c r="R1114" s="7"/>
    </row>
    <row r="1115" spans="1:18" x14ac:dyDescent="0.2">
      <c r="A1115" s="7"/>
      <c r="B1115" s="7"/>
      <c r="C1115" s="7"/>
      <c r="D1115" s="7"/>
      <c r="E1115" s="7"/>
      <c r="F1115" s="7"/>
      <c r="G1115" s="7"/>
      <c r="H1115" s="37"/>
      <c r="I1115" s="7"/>
      <c r="J1115" s="7"/>
      <c r="K1115" s="7"/>
      <c r="L1115" s="7"/>
      <c r="M1115" s="7"/>
      <c r="N1115" s="7"/>
      <c r="O1115" s="7"/>
      <c r="P1115" s="7"/>
      <c r="Q1115" s="7"/>
      <c r="R1115" s="7"/>
    </row>
    <row r="1116" spans="1:18" x14ac:dyDescent="0.2">
      <c r="A1116" s="7"/>
      <c r="B1116" s="7"/>
      <c r="C1116" s="7"/>
      <c r="D1116" s="7"/>
      <c r="E1116" s="7"/>
      <c r="F1116" s="7"/>
      <c r="G1116" s="7"/>
      <c r="H1116" s="37"/>
      <c r="I1116" s="7"/>
      <c r="J1116" s="7"/>
      <c r="K1116" s="7"/>
      <c r="L1116" s="7"/>
      <c r="M1116" s="7"/>
      <c r="N1116" s="7"/>
      <c r="O1116" s="7"/>
      <c r="P1116" s="7"/>
      <c r="Q1116" s="7"/>
      <c r="R1116" s="7"/>
    </row>
    <row r="1117" spans="1:18" x14ac:dyDescent="0.2">
      <c r="A1117" s="7"/>
      <c r="B1117" s="7"/>
      <c r="C1117" s="7"/>
      <c r="D1117" s="7"/>
      <c r="E1117" s="7"/>
      <c r="F1117" s="7"/>
      <c r="G1117" s="7"/>
      <c r="H1117" s="37"/>
      <c r="I1117" s="7"/>
      <c r="J1117" s="7"/>
      <c r="K1117" s="7"/>
      <c r="L1117" s="7"/>
      <c r="M1117" s="7"/>
      <c r="N1117" s="7"/>
      <c r="O1117" s="7"/>
      <c r="P1117" s="7"/>
      <c r="Q1117" s="7"/>
      <c r="R1117" s="7"/>
    </row>
    <row r="1118" spans="1:18" x14ac:dyDescent="0.2">
      <c r="A1118" s="7"/>
      <c r="B1118" s="7"/>
      <c r="C1118" s="7"/>
      <c r="D1118" s="7"/>
      <c r="E1118" s="7"/>
      <c r="F1118" s="7"/>
      <c r="G1118" s="7"/>
      <c r="H1118" s="37"/>
      <c r="I1118" s="7"/>
      <c r="J1118" s="7"/>
      <c r="K1118" s="7"/>
      <c r="L1118" s="7"/>
      <c r="M1118" s="7"/>
      <c r="N1118" s="7"/>
      <c r="O1118" s="7"/>
      <c r="P1118" s="7"/>
      <c r="Q1118" s="7"/>
      <c r="R1118" s="7"/>
    </row>
    <row r="1119" spans="1:18" x14ac:dyDescent="0.2">
      <c r="A1119" s="7"/>
      <c r="B1119" s="7"/>
      <c r="C1119" s="7"/>
      <c r="D1119" s="7"/>
      <c r="E1119" s="7"/>
      <c r="F1119" s="7"/>
      <c r="G1119" s="7"/>
      <c r="H1119" s="37"/>
      <c r="I1119" s="7"/>
      <c r="J1119" s="7"/>
      <c r="K1119" s="7"/>
      <c r="L1119" s="7"/>
      <c r="M1119" s="7"/>
      <c r="N1119" s="7"/>
      <c r="O1119" s="7"/>
      <c r="P1119" s="7"/>
      <c r="Q1119" s="7"/>
      <c r="R1119" s="7"/>
    </row>
    <row r="1120" spans="1:18" x14ac:dyDescent="0.2">
      <c r="A1120" s="7"/>
      <c r="B1120" s="7"/>
      <c r="C1120" s="7"/>
      <c r="D1120" s="7"/>
      <c r="E1120" s="7"/>
      <c r="F1120" s="7"/>
      <c r="G1120" s="7"/>
      <c r="H1120" s="37"/>
      <c r="I1120" s="7"/>
      <c r="J1120" s="7"/>
      <c r="K1120" s="7"/>
      <c r="L1120" s="7"/>
      <c r="M1120" s="7"/>
      <c r="N1120" s="7"/>
      <c r="O1120" s="7"/>
      <c r="P1120" s="7"/>
      <c r="Q1120" s="7"/>
      <c r="R1120" s="7"/>
    </row>
    <row r="1121" spans="1:18" x14ac:dyDescent="0.2">
      <c r="A1121" s="7"/>
      <c r="B1121" s="7"/>
      <c r="C1121" s="7"/>
      <c r="D1121" s="7"/>
      <c r="E1121" s="7"/>
      <c r="F1121" s="7"/>
      <c r="G1121" s="7"/>
      <c r="H1121" s="37"/>
      <c r="I1121" s="7"/>
      <c r="J1121" s="7"/>
      <c r="K1121" s="7"/>
      <c r="L1121" s="7"/>
      <c r="M1121" s="7"/>
      <c r="N1121" s="7"/>
      <c r="O1121" s="7"/>
      <c r="P1121" s="7"/>
      <c r="Q1121" s="7"/>
      <c r="R1121" s="7"/>
    </row>
    <row r="1122" spans="1:18" x14ac:dyDescent="0.2">
      <c r="A1122" s="7"/>
      <c r="B1122" s="7"/>
      <c r="C1122" s="7"/>
      <c r="D1122" s="7"/>
      <c r="E1122" s="7"/>
      <c r="F1122" s="7"/>
      <c r="G1122" s="7"/>
      <c r="H1122" s="37"/>
      <c r="I1122" s="7"/>
      <c r="J1122" s="7"/>
      <c r="K1122" s="7"/>
      <c r="L1122" s="7"/>
      <c r="M1122" s="7"/>
      <c r="N1122" s="7"/>
      <c r="O1122" s="7"/>
      <c r="P1122" s="7"/>
      <c r="Q1122" s="7"/>
      <c r="R1122" s="7"/>
    </row>
    <row r="1123" spans="1:18" x14ac:dyDescent="0.2">
      <c r="A1123" s="7"/>
      <c r="B1123" s="7"/>
      <c r="C1123" s="7"/>
      <c r="D1123" s="7"/>
      <c r="E1123" s="7"/>
      <c r="F1123" s="7"/>
      <c r="G1123" s="7"/>
      <c r="H1123" s="37"/>
      <c r="I1123" s="7"/>
      <c r="J1123" s="7"/>
      <c r="K1123" s="7"/>
      <c r="L1123" s="7"/>
      <c r="M1123" s="7"/>
      <c r="N1123" s="7"/>
      <c r="O1123" s="7"/>
      <c r="P1123" s="7"/>
      <c r="Q1123" s="7"/>
      <c r="R1123" s="7"/>
    </row>
    <row r="1124" spans="1:18" x14ac:dyDescent="0.2">
      <c r="A1124" s="7"/>
      <c r="B1124" s="7"/>
      <c r="C1124" s="7"/>
      <c r="D1124" s="7"/>
      <c r="E1124" s="7"/>
      <c r="F1124" s="7"/>
      <c r="G1124" s="7"/>
      <c r="H1124" s="37"/>
      <c r="I1124" s="7"/>
      <c r="J1124" s="7"/>
      <c r="K1124" s="7"/>
      <c r="L1124" s="7"/>
      <c r="M1124" s="7"/>
      <c r="N1124" s="7"/>
      <c r="O1124" s="7"/>
      <c r="P1124" s="7"/>
      <c r="Q1124" s="7"/>
      <c r="R1124" s="7"/>
    </row>
    <row r="1125" spans="1:18" x14ac:dyDescent="0.2">
      <c r="A1125" s="7"/>
      <c r="B1125" s="7"/>
      <c r="C1125" s="7"/>
      <c r="D1125" s="7"/>
      <c r="E1125" s="7"/>
      <c r="F1125" s="7"/>
      <c r="G1125" s="7"/>
      <c r="H1125" s="37"/>
      <c r="I1125" s="7"/>
      <c r="J1125" s="7"/>
      <c r="K1125" s="7"/>
      <c r="L1125" s="7"/>
      <c r="M1125" s="7"/>
      <c r="N1125" s="7"/>
      <c r="O1125" s="7"/>
      <c r="P1125" s="7"/>
      <c r="Q1125" s="7"/>
      <c r="R1125" s="7"/>
    </row>
    <row r="1126" spans="1:18" x14ac:dyDescent="0.2">
      <c r="A1126" s="7"/>
      <c r="B1126" s="7"/>
      <c r="C1126" s="7"/>
      <c r="D1126" s="7"/>
      <c r="E1126" s="7"/>
      <c r="F1126" s="7"/>
      <c r="G1126" s="7"/>
      <c r="H1126" s="37"/>
      <c r="I1126" s="7"/>
      <c r="J1126" s="7"/>
      <c r="K1126" s="7"/>
      <c r="L1126" s="7"/>
      <c r="M1126" s="7"/>
      <c r="N1126" s="7"/>
      <c r="O1126" s="7"/>
      <c r="P1126" s="7"/>
      <c r="Q1126" s="7"/>
      <c r="R1126" s="7"/>
    </row>
    <row r="1127" spans="1:18" x14ac:dyDescent="0.2">
      <c r="A1127" s="7"/>
      <c r="B1127" s="7"/>
      <c r="C1127" s="7"/>
      <c r="D1127" s="7"/>
      <c r="E1127" s="7"/>
      <c r="F1127" s="7"/>
      <c r="G1127" s="7"/>
      <c r="H1127" s="37"/>
      <c r="I1127" s="7"/>
      <c r="J1127" s="7"/>
      <c r="K1127" s="7"/>
      <c r="L1127" s="7"/>
      <c r="M1127" s="7"/>
      <c r="N1127" s="7"/>
      <c r="O1127" s="7"/>
      <c r="P1127" s="7"/>
      <c r="Q1127" s="7"/>
      <c r="R1127" s="7"/>
    </row>
    <row r="1128" spans="1:18" x14ac:dyDescent="0.2">
      <c r="A1128" s="7"/>
      <c r="B1128" s="7"/>
      <c r="C1128" s="7"/>
      <c r="D1128" s="7"/>
      <c r="E1128" s="7"/>
      <c r="F1128" s="7"/>
      <c r="G1128" s="7"/>
      <c r="H1128" s="37"/>
      <c r="I1128" s="7"/>
      <c r="J1128" s="7"/>
      <c r="K1128" s="7"/>
      <c r="L1128" s="7"/>
      <c r="M1128" s="7"/>
      <c r="N1128" s="7"/>
      <c r="O1128" s="7"/>
      <c r="P1128" s="7"/>
      <c r="Q1128" s="7"/>
      <c r="R1128" s="7"/>
    </row>
    <row r="1129" spans="1:18" x14ac:dyDescent="0.2">
      <c r="A1129" s="7"/>
      <c r="B1129" s="7"/>
      <c r="C1129" s="7"/>
      <c r="D1129" s="7"/>
      <c r="E1129" s="7"/>
      <c r="F1129" s="7"/>
      <c r="G1129" s="7"/>
      <c r="H1129" s="37"/>
      <c r="I1129" s="7"/>
      <c r="J1129" s="7"/>
      <c r="K1129" s="7"/>
      <c r="L1129" s="7"/>
      <c r="M1129" s="7"/>
      <c r="N1129" s="7"/>
      <c r="O1129" s="7"/>
      <c r="P1129" s="7"/>
      <c r="Q1129" s="7"/>
      <c r="R1129" s="7"/>
    </row>
    <row r="1130" spans="1:18" x14ac:dyDescent="0.2">
      <c r="A1130" s="7"/>
      <c r="B1130" s="7"/>
      <c r="C1130" s="7"/>
      <c r="D1130" s="7"/>
      <c r="E1130" s="7"/>
      <c r="F1130" s="7"/>
      <c r="G1130" s="7"/>
      <c r="H1130" s="37"/>
      <c r="I1130" s="7"/>
      <c r="J1130" s="7"/>
      <c r="K1130" s="7"/>
      <c r="L1130" s="7"/>
      <c r="M1130" s="7"/>
      <c r="N1130" s="7"/>
      <c r="O1130" s="7"/>
      <c r="P1130" s="7"/>
      <c r="Q1130" s="7"/>
      <c r="R1130" s="7"/>
    </row>
    <row r="1131" spans="1:18" x14ac:dyDescent="0.2">
      <c r="A1131" s="7"/>
      <c r="B1131" s="7"/>
      <c r="C1131" s="7"/>
      <c r="D1131" s="7"/>
      <c r="E1131" s="7"/>
      <c r="F1131" s="7"/>
      <c r="G1131" s="7"/>
      <c r="H1131" s="37"/>
      <c r="I1131" s="7"/>
      <c r="J1131" s="7"/>
      <c r="K1131" s="7"/>
      <c r="L1131" s="7"/>
      <c r="M1131" s="7"/>
      <c r="N1131" s="7"/>
      <c r="O1131" s="7"/>
      <c r="P1131" s="7"/>
      <c r="Q1131" s="7"/>
      <c r="R1131" s="7"/>
    </row>
    <row r="1132" spans="1:18" x14ac:dyDescent="0.2">
      <c r="A1132" s="7"/>
      <c r="B1132" s="7"/>
      <c r="C1132" s="7"/>
      <c r="D1132" s="7"/>
      <c r="E1132" s="7"/>
      <c r="F1132" s="7"/>
      <c r="H1132" s="37"/>
      <c r="I1132" s="7"/>
      <c r="J1132" s="7"/>
      <c r="K1132" s="7"/>
      <c r="L1132" s="7"/>
      <c r="M1132" s="7"/>
      <c r="N1132" s="7"/>
      <c r="O1132" s="7"/>
      <c r="P1132" s="7"/>
      <c r="Q1132" s="7"/>
      <c r="R1132" s="7"/>
    </row>
    <row r="1133" spans="1:18" x14ac:dyDescent="0.2">
      <c r="A1133" s="7"/>
      <c r="B1133" s="7"/>
      <c r="C1133" s="7"/>
      <c r="D1133" s="7"/>
      <c r="E1133" s="7"/>
      <c r="F1133" s="7"/>
      <c r="H1133" s="37"/>
      <c r="I1133" s="7"/>
      <c r="J1133" s="7"/>
      <c r="K1133" s="7"/>
      <c r="L1133" s="7"/>
      <c r="M1133" s="7"/>
      <c r="N1133" s="7"/>
      <c r="O1133" s="7"/>
      <c r="P1133" s="7"/>
      <c r="Q1133" s="7"/>
      <c r="R1133" s="7"/>
    </row>
    <row r="1134" spans="1:18" x14ac:dyDescent="0.2">
      <c r="A1134" s="7"/>
      <c r="B1134" s="7"/>
      <c r="C1134" s="7"/>
      <c r="D1134" s="7"/>
      <c r="E1134" s="7"/>
      <c r="F1134" s="7"/>
      <c r="H1134" s="37"/>
      <c r="I1134" s="7"/>
      <c r="J1134" s="7"/>
      <c r="K1134" s="7"/>
      <c r="L1134" s="7"/>
      <c r="M1134" s="7"/>
      <c r="N1134" s="7"/>
      <c r="O1134" s="7"/>
      <c r="P1134" s="7"/>
      <c r="Q1134" s="7"/>
      <c r="R1134" s="7"/>
    </row>
    <row r="1135" spans="1:18" x14ac:dyDescent="0.2">
      <c r="A1135" s="7"/>
      <c r="B1135" s="7"/>
      <c r="C1135" s="7"/>
      <c r="D1135" s="7"/>
      <c r="E1135" s="7"/>
      <c r="F1135" s="7"/>
      <c r="H1135" s="37"/>
      <c r="I1135" s="7"/>
      <c r="J1135" s="7"/>
      <c r="K1135" s="7"/>
      <c r="L1135" s="7"/>
      <c r="M1135" s="7"/>
      <c r="N1135" s="7"/>
      <c r="O1135" s="7"/>
      <c r="P1135" s="7"/>
      <c r="Q1135" s="7"/>
      <c r="R1135" s="7"/>
    </row>
    <row r="1136" spans="1:18" x14ac:dyDescent="0.2">
      <c r="A1136" s="7"/>
      <c r="B1136" s="7"/>
      <c r="C1136" s="7"/>
      <c r="D1136" s="7"/>
      <c r="E1136" s="7"/>
      <c r="F1136" s="7"/>
      <c r="H1136" s="37"/>
      <c r="I1136" s="7"/>
      <c r="J1136" s="7"/>
      <c r="K1136" s="7"/>
      <c r="L1136" s="7"/>
      <c r="M1136" s="7"/>
      <c r="N1136" s="7"/>
      <c r="O1136" s="7"/>
      <c r="P1136" s="7"/>
      <c r="Q1136" s="7"/>
      <c r="R1136" s="7"/>
    </row>
    <row r="1137" spans="1:18" x14ac:dyDescent="0.2">
      <c r="A1137" s="7"/>
      <c r="B1137" s="7"/>
      <c r="C1137" s="7"/>
      <c r="D1137" s="7"/>
      <c r="E1137" s="7"/>
      <c r="F1137" s="7"/>
      <c r="H1137" s="37"/>
      <c r="I1137" s="7"/>
      <c r="J1137" s="7"/>
      <c r="K1137" s="7"/>
      <c r="L1137" s="7"/>
      <c r="M1137" s="7"/>
      <c r="N1137" s="7"/>
      <c r="O1137" s="7"/>
      <c r="P1137" s="7"/>
      <c r="Q1137" s="7"/>
      <c r="R1137" s="7"/>
    </row>
    <row r="1138" spans="1:18" x14ac:dyDescent="0.2">
      <c r="A1138" s="7"/>
      <c r="B1138" s="7"/>
      <c r="C1138" s="7"/>
      <c r="D1138" s="7"/>
      <c r="E1138" s="7"/>
      <c r="F1138" s="7"/>
      <c r="H1138" s="37"/>
      <c r="I1138" s="7"/>
      <c r="J1138" s="7"/>
      <c r="K1138" s="7"/>
      <c r="L1138" s="7"/>
      <c r="M1138" s="7"/>
      <c r="N1138" s="7"/>
      <c r="O1138" s="7"/>
      <c r="P1138" s="7"/>
      <c r="Q1138" s="7"/>
      <c r="R1138" s="7"/>
    </row>
    <row r="1139" spans="1:18" x14ac:dyDescent="0.2">
      <c r="A1139" s="7"/>
      <c r="B1139" s="7"/>
      <c r="C1139" s="7"/>
      <c r="D1139" s="7"/>
      <c r="E1139" s="7"/>
      <c r="F1139" s="7"/>
      <c r="H1139" s="37"/>
      <c r="I1139" s="7"/>
      <c r="J1139" s="7"/>
      <c r="K1139" s="7"/>
      <c r="L1139" s="7"/>
      <c r="M1139" s="7"/>
      <c r="N1139" s="7"/>
      <c r="O1139" s="7"/>
      <c r="P1139" s="7"/>
      <c r="Q1139" s="7"/>
      <c r="R1139" s="7"/>
    </row>
    <row r="1140" spans="1:18" x14ac:dyDescent="0.2">
      <c r="A1140" s="7"/>
      <c r="B1140" s="7"/>
      <c r="C1140" s="7"/>
      <c r="D1140" s="7"/>
      <c r="E1140" s="7"/>
      <c r="F1140" s="7"/>
      <c r="H1140" s="37"/>
      <c r="I1140" s="7"/>
      <c r="J1140" s="7"/>
      <c r="K1140" s="7"/>
      <c r="L1140" s="7"/>
      <c r="M1140" s="7"/>
      <c r="N1140" s="7"/>
      <c r="O1140" s="7"/>
      <c r="P1140" s="7"/>
      <c r="Q1140" s="7"/>
      <c r="R1140" s="7"/>
    </row>
    <row r="1141" spans="1:18" x14ac:dyDescent="0.2">
      <c r="A1141" s="7"/>
      <c r="B1141" s="7"/>
      <c r="C1141" s="7"/>
      <c r="D1141" s="7"/>
      <c r="E1141" s="7"/>
      <c r="F1141" s="7"/>
      <c r="H1141" s="37"/>
      <c r="I1141" s="7"/>
      <c r="J1141" s="7"/>
      <c r="K1141" s="7"/>
      <c r="L1141" s="7"/>
      <c r="M1141" s="7"/>
      <c r="N1141" s="7"/>
      <c r="O1141" s="7"/>
      <c r="P1141" s="7"/>
      <c r="Q1141" s="7"/>
      <c r="R1141" s="7"/>
    </row>
    <row r="1142" spans="1:18" x14ac:dyDescent="0.2">
      <c r="A1142" s="7"/>
      <c r="B1142" s="7"/>
      <c r="C1142" s="7"/>
      <c r="D1142" s="7"/>
      <c r="E1142" s="7"/>
      <c r="F1142" s="7"/>
      <c r="H1142" s="37"/>
      <c r="I1142" s="7"/>
      <c r="J1142" s="7"/>
      <c r="K1142" s="7"/>
      <c r="L1142" s="7"/>
      <c r="M1142" s="7"/>
      <c r="N1142" s="7"/>
      <c r="O1142" s="7"/>
      <c r="P1142" s="7"/>
      <c r="Q1142" s="7"/>
      <c r="R1142" s="7"/>
    </row>
    <row r="1143" spans="1:18" x14ac:dyDescent="0.2">
      <c r="A1143" s="7"/>
      <c r="B1143" s="7"/>
      <c r="C1143" s="7"/>
      <c r="D1143" s="7"/>
      <c r="E1143" s="7"/>
      <c r="F1143" s="7"/>
      <c r="G1143" s="106"/>
      <c r="H1143" s="37"/>
      <c r="I1143" s="7"/>
      <c r="J1143" s="7"/>
      <c r="K1143" s="7"/>
      <c r="L1143" s="7"/>
      <c r="M1143" s="7"/>
      <c r="N1143" s="7"/>
      <c r="O1143" s="7"/>
      <c r="P1143" s="7"/>
      <c r="Q1143" s="7"/>
      <c r="R1143" s="7"/>
    </row>
    <row r="1144" spans="1:18" x14ac:dyDescent="0.2">
      <c r="A1144" s="7"/>
      <c r="B1144" s="7"/>
      <c r="C1144" s="7"/>
      <c r="D1144" s="7"/>
      <c r="E1144" s="7"/>
      <c r="F1144" s="7"/>
      <c r="G1144" s="106"/>
      <c r="H1144" s="37"/>
      <c r="I1144" s="7"/>
      <c r="J1144" s="7"/>
      <c r="K1144" s="7"/>
      <c r="L1144" s="7"/>
      <c r="M1144" s="7"/>
      <c r="N1144" s="7"/>
      <c r="O1144" s="7"/>
      <c r="P1144" s="7"/>
      <c r="Q1144" s="7"/>
      <c r="R1144" s="7"/>
    </row>
    <row r="1145" spans="1:18" x14ac:dyDescent="0.2">
      <c r="A1145" s="7"/>
      <c r="B1145" s="7"/>
      <c r="C1145" s="7"/>
      <c r="D1145" s="7"/>
      <c r="E1145" s="7"/>
      <c r="F1145" s="7"/>
      <c r="G1145" s="37"/>
      <c r="H1145" s="37"/>
      <c r="I1145" s="7"/>
      <c r="J1145" s="7"/>
      <c r="K1145" s="7"/>
      <c r="L1145" s="7"/>
      <c r="M1145" s="7"/>
      <c r="N1145" s="7"/>
      <c r="O1145" s="7"/>
      <c r="P1145" s="7"/>
      <c r="Q1145" s="7"/>
      <c r="R1145" s="7"/>
    </row>
    <row r="1146" spans="1:18" x14ac:dyDescent="0.2">
      <c r="A1146" s="7"/>
      <c r="B1146" s="7"/>
      <c r="C1146" s="7"/>
      <c r="D1146" s="7"/>
      <c r="E1146" s="7"/>
      <c r="F1146" s="7"/>
      <c r="G1146" s="162"/>
      <c r="H1146" s="163"/>
      <c r="I1146" s="7"/>
      <c r="J1146" s="7"/>
      <c r="K1146" s="7"/>
      <c r="L1146" s="7"/>
      <c r="M1146" s="7"/>
      <c r="N1146" s="7"/>
      <c r="O1146" s="7"/>
      <c r="P1146" s="7"/>
      <c r="Q1146" s="7"/>
      <c r="R1146" s="7"/>
    </row>
    <row r="1147" spans="1:18" x14ac:dyDescent="0.2">
      <c r="A1147" s="7"/>
      <c r="B1147" s="7"/>
      <c r="C1147" s="7"/>
      <c r="D1147" s="7"/>
      <c r="E1147" s="7"/>
      <c r="F1147" s="7"/>
      <c r="H1147" s="37"/>
      <c r="I1147" s="7"/>
      <c r="J1147" s="7"/>
      <c r="K1147" s="7"/>
      <c r="L1147" s="7"/>
      <c r="M1147" s="7"/>
      <c r="N1147" s="7"/>
      <c r="O1147" s="7"/>
      <c r="P1147" s="7"/>
      <c r="Q1147" s="7"/>
      <c r="R1147" s="7"/>
    </row>
    <row r="1148" spans="1:18" x14ac:dyDescent="0.2">
      <c r="A1148" s="7"/>
      <c r="B1148" s="7"/>
      <c r="C1148" s="7"/>
      <c r="D1148" s="7"/>
      <c r="E1148" s="7"/>
      <c r="F1148" s="7"/>
      <c r="G1148" s="7"/>
      <c r="H1148" s="37"/>
      <c r="I1148" s="7"/>
      <c r="J1148" s="7"/>
      <c r="K1148" s="7"/>
      <c r="L1148" s="7"/>
      <c r="M1148" s="7"/>
      <c r="N1148" s="7"/>
      <c r="O1148" s="7"/>
      <c r="P1148" s="7"/>
      <c r="Q1148" s="7"/>
      <c r="R1148" s="7"/>
    </row>
    <row r="1149" spans="1:18" x14ac:dyDescent="0.2">
      <c r="A1149" s="7"/>
      <c r="B1149" s="7"/>
      <c r="C1149" s="7"/>
      <c r="D1149" s="7"/>
      <c r="E1149" s="7"/>
      <c r="F1149" s="7"/>
      <c r="G1149" s="7"/>
      <c r="H1149" s="37"/>
      <c r="I1149" s="7"/>
      <c r="J1149" s="7"/>
      <c r="K1149" s="7"/>
      <c r="L1149" s="7"/>
      <c r="M1149" s="7"/>
      <c r="N1149" s="7"/>
      <c r="O1149" s="7"/>
      <c r="P1149" s="7"/>
      <c r="Q1149" s="7"/>
      <c r="R1149" s="7"/>
    </row>
    <row r="1150" spans="1:18" x14ac:dyDescent="0.2">
      <c r="A1150" s="7"/>
      <c r="B1150" s="7"/>
      <c r="C1150" s="7"/>
      <c r="D1150" s="7"/>
      <c r="E1150" s="7"/>
      <c r="F1150" s="7"/>
      <c r="G1150" s="7"/>
      <c r="H1150" s="37"/>
      <c r="I1150" s="7"/>
      <c r="J1150" s="7"/>
      <c r="K1150" s="7"/>
      <c r="L1150" s="7"/>
      <c r="M1150" s="7"/>
      <c r="N1150" s="7"/>
      <c r="O1150" s="7"/>
      <c r="P1150" s="7"/>
      <c r="Q1150" s="7"/>
      <c r="R1150" s="7"/>
    </row>
    <row r="1151" spans="1:18" x14ac:dyDescent="0.2">
      <c r="A1151" s="7"/>
      <c r="B1151" s="7"/>
      <c r="C1151" s="7"/>
      <c r="D1151" s="7"/>
      <c r="E1151" s="7"/>
      <c r="F1151" s="7"/>
      <c r="G1151" s="7"/>
      <c r="H1151" s="37"/>
      <c r="I1151" s="7"/>
      <c r="J1151" s="7"/>
      <c r="K1151" s="7"/>
      <c r="L1151" s="7"/>
      <c r="M1151" s="7"/>
      <c r="N1151" s="7"/>
      <c r="O1151" s="7"/>
      <c r="P1151" s="7"/>
      <c r="Q1151" s="7"/>
      <c r="R1151" s="7"/>
    </row>
    <row r="1152" spans="1:18" x14ac:dyDescent="0.2">
      <c r="A1152" s="7"/>
      <c r="B1152" s="7"/>
      <c r="C1152" s="7"/>
      <c r="D1152" s="7"/>
      <c r="E1152" s="7"/>
      <c r="F1152" s="7"/>
      <c r="G1152" s="7"/>
      <c r="H1152" s="37"/>
      <c r="I1152" s="7"/>
      <c r="J1152" s="7"/>
      <c r="K1152" s="7"/>
      <c r="L1152" s="7"/>
      <c r="M1152" s="7"/>
      <c r="N1152" s="7"/>
      <c r="O1152" s="7"/>
      <c r="P1152" s="7"/>
      <c r="Q1152" s="7"/>
      <c r="R1152" s="7"/>
    </row>
    <row r="1153" spans="1:18" x14ac:dyDescent="0.2">
      <c r="A1153" s="7"/>
      <c r="B1153" s="7"/>
      <c r="C1153" s="7"/>
      <c r="D1153" s="7"/>
      <c r="E1153" s="7"/>
      <c r="F1153" s="7"/>
      <c r="G1153" s="7"/>
      <c r="H1153" s="37"/>
      <c r="I1153" s="7"/>
      <c r="J1153" s="7"/>
      <c r="K1153" s="7"/>
      <c r="L1153" s="7"/>
      <c r="M1153" s="7"/>
      <c r="N1153" s="7"/>
      <c r="O1153" s="7"/>
      <c r="P1153" s="7"/>
      <c r="Q1153" s="7"/>
      <c r="R1153" s="7"/>
    </row>
    <row r="1154" spans="1:18" x14ac:dyDescent="0.2">
      <c r="A1154" s="7"/>
      <c r="B1154" s="7"/>
      <c r="C1154" s="7"/>
      <c r="D1154" s="7"/>
      <c r="E1154" s="7"/>
      <c r="F1154" s="7"/>
      <c r="G1154" s="7"/>
      <c r="H1154" s="37"/>
      <c r="I1154" s="7"/>
      <c r="J1154" s="7"/>
      <c r="K1154" s="7"/>
      <c r="L1154" s="7"/>
      <c r="M1154" s="7"/>
      <c r="N1154" s="7"/>
      <c r="O1154" s="7"/>
      <c r="P1154" s="7"/>
      <c r="Q1154" s="7"/>
      <c r="R1154" s="7"/>
    </row>
    <row r="1155" spans="1:18" x14ac:dyDescent="0.2">
      <c r="A1155" s="7"/>
      <c r="B1155" s="7"/>
      <c r="C1155" s="7"/>
      <c r="D1155" s="7"/>
      <c r="E1155" s="7"/>
      <c r="F1155" s="7"/>
      <c r="G1155" s="7"/>
      <c r="H1155" s="37"/>
      <c r="I1155" s="7"/>
      <c r="J1155" s="7"/>
      <c r="K1155" s="7"/>
      <c r="L1155" s="7"/>
      <c r="M1155" s="7"/>
      <c r="N1155" s="7"/>
      <c r="O1155" s="7"/>
      <c r="P1155" s="7"/>
      <c r="Q1155" s="7"/>
      <c r="R1155" s="7"/>
    </row>
    <row r="1156" spans="1:18" x14ac:dyDescent="0.2">
      <c r="A1156" s="7"/>
      <c r="B1156" s="7"/>
      <c r="C1156" s="7"/>
      <c r="D1156" s="7"/>
      <c r="E1156" s="7"/>
      <c r="F1156" s="7"/>
      <c r="G1156" s="7"/>
      <c r="H1156" s="37"/>
      <c r="I1156" s="7"/>
      <c r="J1156" s="7"/>
      <c r="K1156" s="7"/>
      <c r="L1156" s="7"/>
      <c r="M1156" s="7"/>
      <c r="N1156" s="7"/>
      <c r="O1156" s="7"/>
      <c r="P1156" s="7"/>
      <c r="Q1156" s="7"/>
      <c r="R1156" s="7"/>
    </row>
    <row r="1157" spans="1:18" x14ac:dyDescent="0.2">
      <c r="A1157" s="7"/>
      <c r="B1157" s="7"/>
      <c r="C1157" s="7"/>
      <c r="D1157" s="7"/>
      <c r="E1157" s="7"/>
      <c r="F1157" s="7"/>
      <c r="G1157" s="7"/>
      <c r="H1157" s="37"/>
      <c r="I1157" s="7"/>
      <c r="J1157" s="7"/>
      <c r="K1157" s="7"/>
      <c r="L1157" s="7"/>
      <c r="M1157" s="7"/>
      <c r="N1157" s="7"/>
      <c r="O1157" s="7"/>
      <c r="P1157" s="7"/>
      <c r="Q1157" s="7"/>
      <c r="R1157" s="7"/>
    </row>
    <row r="1158" spans="1:18" x14ac:dyDescent="0.2">
      <c r="A1158" s="7"/>
      <c r="B1158" s="7"/>
      <c r="C1158" s="7"/>
      <c r="D1158" s="7"/>
      <c r="E1158" s="7"/>
      <c r="F1158" s="7"/>
      <c r="G1158" s="7"/>
      <c r="H1158" s="37"/>
      <c r="I1158" s="7"/>
      <c r="J1158" s="7"/>
      <c r="K1158" s="7"/>
      <c r="L1158" s="7"/>
      <c r="M1158" s="7"/>
      <c r="N1158" s="7"/>
      <c r="O1158" s="7"/>
      <c r="P1158" s="7"/>
      <c r="Q1158" s="7"/>
      <c r="R1158" s="7"/>
    </row>
    <row r="1159" spans="1:18" x14ac:dyDescent="0.2">
      <c r="A1159" s="7"/>
      <c r="B1159" s="7"/>
      <c r="C1159" s="7"/>
      <c r="D1159" s="7"/>
      <c r="E1159" s="7"/>
      <c r="F1159" s="7"/>
      <c r="G1159" s="7"/>
      <c r="H1159" s="37"/>
      <c r="I1159" s="7"/>
      <c r="J1159" s="7"/>
      <c r="K1159" s="7"/>
      <c r="L1159" s="7"/>
      <c r="M1159" s="7"/>
      <c r="N1159" s="7"/>
      <c r="O1159" s="7"/>
      <c r="P1159" s="7"/>
      <c r="Q1159" s="7"/>
      <c r="R1159" s="7"/>
    </row>
    <row r="1160" spans="1:18" x14ac:dyDescent="0.2">
      <c r="A1160" s="7"/>
      <c r="B1160" s="7"/>
      <c r="C1160" s="7"/>
      <c r="D1160" s="7"/>
      <c r="E1160" s="7"/>
      <c r="F1160" s="7"/>
      <c r="G1160" s="7"/>
      <c r="H1160" s="37"/>
      <c r="I1160" s="7"/>
      <c r="J1160" s="7"/>
      <c r="K1160" s="7"/>
      <c r="L1160" s="7"/>
      <c r="M1160" s="7"/>
      <c r="N1160" s="7"/>
      <c r="O1160" s="7"/>
      <c r="P1160" s="7"/>
      <c r="Q1160" s="7"/>
      <c r="R1160" s="7"/>
    </row>
    <row r="1161" spans="1:18" x14ac:dyDescent="0.2">
      <c r="A1161" s="7"/>
      <c r="B1161" s="7"/>
      <c r="C1161" s="7"/>
      <c r="D1161" s="7"/>
      <c r="E1161" s="7"/>
      <c r="F1161" s="7"/>
      <c r="G1161" s="7"/>
      <c r="H1161" s="37"/>
      <c r="I1161" s="7"/>
      <c r="J1161" s="7"/>
      <c r="K1161" s="7"/>
      <c r="L1161" s="7"/>
      <c r="M1161" s="7"/>
      <c r="N1161" s="7"/>
      <c r="O1161" s="7"/>
      <c r="P1161" s="7"/>
      <c r="Q1161" s="7"/>
      <c r="R1161" s="7"/>
    </row>
    <row r="1162" spans="1:18" x14ac:dyDescent="0.2">
      <c r="A1162" s="7"/>
      <c r="B1162" s="7"/>
      <c r="C1162" s="7"/>
      <c r="D1162" s="7"/>
      <c r="E1162" s="7"/>
      <c r="F1162" s="7"/>
      <c r="G1162" s="7"/>
      <c r="H1162" s="37"/>
      <c r="I1162" s="7"/>
      <c r="J1162" s="7"/>
      <c r="K1162" s="7"/>
      <c r="L1162" s="7"/>
      <c r="M1162" s="7"/>
      <c r="N1162" s="7"/>
      <c r="O1162" s="7"/>
      <c r="P1162" s="7"/>
      <c r="Q1162" s="7"/>
      <c r="R1162" s="7"/>
    </row>
    <row r="1163" spans="1:18" x14ac:dyDescent="0.2">
      <c r="A1163" s="7"/>
      <c r="B1163" s="7"/>
      <c r="C1163" s="7"/>
      <c r="D1163" s="7"/>
      <c r="E1163" s="7"/>
      <c r="F1163" s="7"/>
      <c r="G1163" s="7"/>
      <c r="H1163" s="37"/>
      <c r="I1163" s="7"/>
      <c r="J1163" s="7"/>
      <c r="K1163" s="7"/>
      <c r="L1163" s="7"/>
      <c r="M1163" s="7"/>
      <c r="N1163" s="7"/>
      <c r="O1163" s="7"/>
      <c r="P1163" s="7"/>
      <c r="Q1163" s="7"/>
      <c r="R1163" s="7"/>
    </row>
    <row r="1164" spans="1:18" x14ac:dyDescent="0.2">
      <c r="A1164" s="7"/>
      <c r="B1164" s="7"/>
      <c r="C1164" s="7"/>
      <c r="D1164" s="7"/>
      <c r="E1164" s="7"/>
      <c r="F1164" s="7"/>
      <c r="H1164" s="37"/>
      <c r="I1164" s="7"/>
      <c r="J1164" s="7"/>
      <c r="K1164" s="7"/>
      <c r="L1164" s="7"/>
      <c r="M1164" s="7"/>
      <c r="N1164" s="7"/>
      <c r="O1164" s="7"/>
      <c r="P1164" s="7"/>
      <c r="Q1164" s="7"/>
      <c r="R1164" s="7"/>
    </row>
    <row r="1165" spans="1:18" x14ac:dyDescent="0.2">
      <c r="A1165" s="7"/>
      <c r="B1165" s="7"/>
      <c r="C1165" s="7"/>
      <c r="D1165" s="7"/>
      <c r="E1165" s="7"/>
      <c r="F1165" s="7"/>
      <c r="H1165" s="37"/>
      <c r="I1165" s="7"/>
      <c r="J1165" s="7"/>
      <c r="K1165" s="7"/>
      <c r="L1165" s="7"/>
      <c r="M1165" s="7"/>
      <c r="N1165" s="7"/>
      <c r="O1165" s="7"/>
      <c r="P1165" s="7"/>
      <c r="Q1165" s="7"/>
      <c r="R1165" s="7"/>
    </row>
    <row r="1166" spans="1:18" x14ac:dyDescent="0.2">
      <c r="A1166" s="7"/>
      <c r="B1166" s="7"/>
      <c r="C1166" s="7"/>
      <c r="D1166" s="7"/>
      <c r="E1166" s="7"/>
      <c r="F1166" s="7"/>
      <c r="H1166" s="37"/>
      <c r="I1166" s="7"/>
      <c r="J1166" s="7"/>
      <c r="K1166" s="7"/>
      <c r="L1166" s="7"/>
      <c r="M1166" s="7"/>
      <c r="N1166" s="7"/>
      <c r="O1166" s="7"/>
      <c r="P1166" s="7"/>
      <c r="Q1166" s="7"/>
      <c r="R1166" s="7"/>
    </row>
    <row r="1167" spans="1:18" x14ac:dyDescent="0.2">
      <c r="A1167" s="7"/>
      <c r="B1167" s="7"/>
      <c r="C1167" s="7"/>
      <c r="D1167" s="7"/>
      <c r="E1167" s="7"/>
      <c r="F1167" s="7"/>
      <c r="H1167" s="37"/>
      <c r="I1167" s="7"/>
      <c r="J1167" s="7"/>
      <c r="K1167" s="7"/>
      <c r="L1167" s="7"/>
      <c r="M1167" s="7"/>
      <c r="N1167" s="7"/>
      <c r="O1167" s="7"/>
      <c r="P1167" s="7"/>
      <c r="Q1167" s="7"/>
      <c r="R1167" s="7"/>
    </row>
    <row r="1168" spans="1:18" x14ac:dyDescent="0.2">
      <c r="A1168" s="7"/>
      <c r="B1168" s="7"/>
      <c r="C1168" s="7"/>
      <c r="D1168" s="7"/>
      <c r="E1168" s="7"/>
      <c r="F1168" s="7"/>
      <c r="H1168" s="37"/>
      <c r="I1168" s="7"/>
      <c r="J1168" s="7"/>
      <c r="K1168" s="7"/>
      <c r="L1168" s="7"/>
      <c r="M1168" s="7"/>
      <c r="N1168" s="7"/>
      <c r="O1168" s="7"/>
      <c r="P1168" s="7"/>
      <c r="Q1168" s="7"/>
      <c r="R1168" s="7"/>
    </row>
    <row r="1169" spans="1:18" x14ac:dyDescent="0.2">
      <c r="A1169" s="7"/>
      <c r="B1169" s="7"/>
      <c r="C1169" s="7"/>
      <c r="D1169" s="7"/>
      <c r="E1169" s="7"/>
      <c r="F1169" s="7"/>
      <c r="H1169" s="37"/>
      <c r="I1169" s="7"/>
      <c r="J1169" s="7"/>
      <c r="K1169" s="7"/>
      <c r="L1169" s="7"/>
      <c r="M1169" s="7"/>
      <c r="N1169" s="7"/>
      <c r="O1169" s="7"/>
      <c r="P1169" s="7"/>
      <c r="Q1169" s="7"/>
      <c r="R1169" s="7"/>
    </row>
    <row r="1170" spans="1:18" x14ac:dyDescent="0.2">
      <c r="A1170" s="7"/>
      <c r="B1170" s="7"/>
      <c r="C1170" s="7"/>
      <c r="D1170" s="7"/>
      <c r="E1170" s="7"/>
      <c r="F1170" s="7"/>
      <c r="H1170" s="37"/>
      <c r="I1170" s="7"/>
      <c r="J1170" s="7"/>
      <c r="K1170" s="7"/>
      <c r="L1170" s="7"/>
      <c r="M1170" s="7"/>
      <c r="N1170" s="7"/>
      <c r="O1170" s="7"/>
      <c r="P1170" s="7"/>
      <c r="Q1170" s="7"/>
      <c r="R1170" s="7"/>
    </row>
    <row r="1171" spans="1:18" x14ac:dyDescent="0.2">
      <c r="A1171" s="7"/>
      <c r="B1171" s="7"/>
      <c r="C1171" s="7"/>
      <c r="D1171" s="7"/>
      <c r="E1171" s="7"/>
      <c r="F1171" s="7"/>
      <c r="H1171" s="37"/>
      <c r="I1171" s="7"/>
      <c r="J1171" s="7"/>
      <c r="K1171" s="7"/>
      <c r="L1171" s="7"/>
      <c r="M1171" s="7"/>
      <c r="N1171" s="7"/>
      <c r="O1171" s="7"/>
      <c r="P1171" s="7"/>
      <c r="Q1171" s="7"/>
      <c r="R1171" s="7"/>
    </row>
    <row r="1172" spans="1:18" x14ac:dyDescent="0.2">
      <c r="A1172" s="7"/>
      <c r="B1172" s="7"/>
      <c r="C1172" s="7"/>
      <c r="D1172" s="7"/>
      <c r="E1172" s="7"/>
      <c r="F1172" s="7"/>
      <c r="H1172" s="37"/>
      <c r="I1172" s="7"/>
      <c r="J1172" s="7"/>
      <c r="K1172" s="7"/>
      <c r="L1172" s="7"/>
      <c r="M1172" s="7"/>
      <c r="N1172" s="7"/>
      <c r="O1172" s="7"/>
      <c r="P1172" s="7"/>
      <c r="Q1172" s="7"/>
      <c r="R1172" s="7"/>
    </row>
    <row r="1173" spans="1:18" x14ac:dyDescent="0.2">
      <c r="A1173" s="7"/>
      <c r="B1173" s="7"/>
      <c r="C1173" s="7"/>
      <c r="D1173" s="7"/>
      <c r="E1173" s="7"/>
      <c r="F1173" s="7"/>
      <c r="H1173" s="37"/>
      <c r="I1173" s="7"/>
      <c r="J1173" s="7"/>
      <c r="K1173" s="7"/>
      <c r="L1173" s="7"/>
      <c r="M1173" s="7"/>
      <c r="N1173" s="7"/>
      <c r="O1173" s="7"/>
      <c r="P1173" s="7"/>
      <c r="Q1173" s="7"/>
      <c r="R1173" s="7"/>
    </row>
    <row r="1174" spans="1:18" x14ac:dyDescent="0.2">
      <c r="A1174" s="7"/>
      <c r="B1174" s="7"/>
      <c r="C1174" s="7"/>
      <c r="D1174" s="7"/>
      <c r="E1174" s="7"/>
      <c r="F1174" s="7"/>
      <c r="H1174" s="37"/>
      <c r="I1174" s="7"/>
      <c r="J1174" s="7"/>
      <c r="K1174" s="7"/>
      <c r="L1174" s="7"/>
      <c r="M1174" s="7"/>
      <c r="N1174" s="7"/>
      <c r="O1174" s="7"/>
      <c r="P1174" s="7"/>
      <c r="Q1174" s="7"/>
      <c r="R1174" s="7"/>
    </row>
    <row r="1175" spans="1:18" x14ac:dyDescent="0.2">
      <c r="A1175" s="7"/>
      <c r="B1175" s="7"/>
      <c r="C1175" s="7"/>
      <c r="D1175" s="7"/>
      <c r="E1175" s="7"/>
      <c r="F1175" s="7"/>
      <c r="H1175" s="37"/>
      <c r="I1175" s="7"/>
      <c r="J1175" s="7"/>
      <c r="K1175" s="7"/>
      <c r="L1175" s="7"/>
      <c r="M1175" s="7"/>
      <c r="N1175" s="7"/>
      <c r="O1175" s="7"/>
      <c r="P1175" s="7"/>
      <c r="Q1175" s="7"/>
      <c r="R1175" s="7"/>
    </row>
    <row r="1176" spans="1:18" x14ac:dyDescent="0.2">
      <c r="A1176" s="7"/>
      <c r="B1176" s="7"/>
      <c r="C1176" s="7"/>
      <c r="D1176" s="7"/>
      <c r="E1176" s="7"/>
      <c r="F1176" s="7"/>
      <c r="H1176" s="37"/>
      <c r="I1176" s="7"/>
      <c r="J1176" s="7"/>
      <c r="K1176" s="7"/>
      <c r="L1176" s="7"/>
      <c r="M1176" s="7"/>
      <c r="N1176" s="7"/>
      <c r="O1176" s="7"/>
      <c r="P1176" s="7"/>
      <c r="Q1176" s="7"/>
      <c r="R1176" s="7"/>
    </row>
    <row r="1177" spans="1:18" x14ac:dyDescent="0.2">
      <c r="A1177" s="7"/>
      <c r="B1177" s="7"/>
      <c r="C1177" s="7"/>
      <c r="D1177" s="7"/>
      <c r="E1177" s="7"/>
      <c r="F1177" s="7"/>
      <c r="H1177" s="37"/>
      <c r="I1177" s="7"/>
      <c r="J1177" s="7"/>
      <c r="K1177" s="7"/>
      <c r="L1177" s="7"/>
      <c r="M1177" s="7"/>
      <c r="N1177" s="7"/>
      <c r="O1177" s="7"/>
      <c r="P1177" s="7"/>
      <c r="Q1177" s="7"/>
      <c r="R1177" s="7"/>
    </row>
    <row r="1178" spans="1:18" x14ac:dyDescent="0.2">
      <c r="A1178" s="7"/>
      <c r="B1178" s="7"/>
      <c r="C1178" s="7"/>
      <c r="D1178" s="7"/>
      <c r="E1178" s="7"/>
      <c r="F1178" s="7"/>
      <c r="G1178" s="163"/>
      <c r="H1178" s="163"/>
      <c r="I1178" s="7"/>
      <c r="J1178" s="7"/>
      <c r="K1178" s="7"/>
      <c r="L1178" s="7"/>
      <c r="M1178" s="7"/>
      <c r="N1178" s="7"/>
      <c r="O1178" s="7"/>
      <c r="P1178" s="7"/>
      <c r="Q1178" s="7"/>
      <c r="R1178" s="7"/>
    </row>
    <row r="1179" spans="1:18" x14ac:dyDescent="0.2">
      <c r="A1179" s="7"/>
      <c r="B1179" s="7"/>
      <c r="C1179" s="7"/>
      <c r="D1179" s="7"/>
      <c r="E1179" s="7"/>
      <c r="F1179" s="7"/>
      <c r="G1179" s="37"/>
      <c r="H1179" s="37"/>
      <c r="I1179" s="7"/>
      <c r="J1179" s="7"/>
      <c r="K1179" s="7"/>
      <c r="L1179" s="7"/>
      <c r="M1179" s="7"/>
      <c r="N1179" s="7"/>
      <c r="O1179" s="7"/>
      <c r="P1179" s="7"/>
      <c r="Q1179" s="7"/>
      <c r="R1179" s="7"/>
    </row>
    <row r="1180" spans="1:18" x14ac:dyDescent="0.2">
      <c r="A1180" s="7"/>
      <c r="B1180" s="7"/>
      <c r="C1180" s="7"/>
      <c r="D1180" s="7"/>
      <c r="E1180" s="7"/>
      <c r="F1180" s="7"/>
      <c r="G1180" s="37"/>
      <c r="H1180" s="37"/>
      <c r="I1180" s="7"/>
      <c r="J1180" s="7"/>
      <c r="K1180" s="7"/>
      <c r="L1180" s="7"/>
      <c r="M1180" s="7"/>
      <c r="N1180" s="7"/>
      <c r="O1180" s="7"/>
      <c r="P1180" s="7"/>
      <c r="Q1180" s="7"/>
      <c r="R1180" s="7"/>
    </row>
    <row r="1181" spans="1:18" x14ac:dyDescent="0.2">
      <c r="A1181" s="7"/>
      <c r="B1181" s="7"/>
      <c r="C1181" s="7"/>
      <c r="D1181" s="7"/>
      <c r="E1181" s="7"/>
      <c r="F1181" s="7"/>
      <c r="G1181" s="37"/>
      <c r="H1181" s="37"/>
      <c r="I1181" s="7"/>
      <c r="J1181" s="7"/>
      <c r="K1181" s="7"/>
      <c r="L1181" s="7"/>
      <c r="M1181" s="7"/>
      <c r="N1181" s="7"/>
      <c r="O1181" s="7"/>
      <c r="P1181" s="7"/>
      <c r="Q1181" s="7"/>
      <c r="R1181" s="7"/>
    </row>
    <row r="1182" spans="1:18" x14ac:dyDescent="0.2">
      <c r="A1182" s="7"/>
      <c r="B1182" s="7"/>
      <c r="C1182" s="7"/>
      <c r="D1182" s="7"/>
      <c r="E1182" s="7"/>
      <c r="F1182" s="7"/>
      <c r="G1182" s="37"/>
      <c r="H1182" s="37"/>
      <c r="I1182" s="7"/>
      <c r="J1182" s="7"/>
      <c r="K1182" s="7"/>
      <c r="L1182" s="7"/>
      <c r="M1182" s="7"/>
      <c r="N1182" s="7"/>
      <c r="O1182" s="7"/>
      <c r="P1182" s="7"/>
      <c r="Q1182" s="7"/>
      <c r="R1182" s="7"/>
    </row>
    <row r="1183" spans="1:18" x14ac:dyDescent="0.2">
      <c r="A1183" s="7"/>
      <c r="B1183" s="7"/>
      <c r="C1183" s="7"/>
      <c r="D1183" s="7"/>
      <c r="E1183" s="7"/>
      <c r="F1183" s="7"/>
      <c r="G1183" s="37"/>
      <c r="H1183" s="37"/>
      <c r="I1183" s="7"/>
      <c r="J1183" s="7"/>
      <c r="K1183" s="7"/>
      <c r="L1183" s="7"/>
      <c r="M1183" s="7"/>
      <c r="N1183" s="7"/>
      <c r="O1183" s="7"/>
      <c r="P1183" s="7"/>
      <c r="Q1183" s="7"/>
      <c r="R1183" s="7"/>
    </row>
    <row r="1184" spans="1:18" x14ac:dyDescent="0.2">
      <c r="A1184" s="7"/>
      <c r="B1184" s="7"/>
      <c r="C1184" s="7"/>
      <c r="D1184" s="7"/>
      <c r="E1184" s="7"/>
      <c r="F1184" s="7"/>
      <c r="G1184" s="37"/>
      <c r="H1184" s="37"/>
      <c r="I1184" s="7"/>
      <c r="J1184" s="7"/>
      <c r="K1184" s="7"/>
      <c r="L1184" s="7"/>
      <c r="M1184" s="7"/>
      <c r="N1184" s="7"/>
      <c r="O1184" s="7"/>
      <c r="P1184" s="7"/>
      <c r="Q1184" s="7"/>
      <c r="R1184" s="7"/>
    </row>
    <row r="1185" spans="1:18" x14ac:dyDescent="0.2">
      <c r="A1185" s="7"/>
      <c r="B1185" s="7"/>
      <c r="C1185" s="7"/>
      <c r="D1185" s="7"/>
      <c r="E1185" s="7"/>
      <c r="F1185" s="7"/>
      <c r="G1185" s="37"/>
      <c r="H1185" s="37"/>
      <c r="I1185" s="7"/>
      <c r="J1185" s="7"/>
      <c r="K1185" s="7"/>
      <c r="L1185" s="7"/>
      <c r="M1185" s="7"/>
      <c r="N1185" s="7"/>
      <c r="O1185" s="7"/>
      <c r="P1185" s="7"/>
      <c r="Q1185" s="7"/>
      <c r="R1185" s="7"/>
    </row>
    <row r="1186" spans="1:18" x14ac:dyDescent="0.2">
      <c r="A1186" s="7"/>
      <c r="B1186" s="7"/>
      <c r="C1186" s="7"/>
      <c r="D1186" s="7"/>
      <c r="E1186" s="7"/>
      <c r="F1186" s="7"/>
      <c r="G1186" s="37"/>
      <c r="H1186" s="37"/>
      <c r="I1186" s="7"/>
      <c r="J1186" s="7"/>
      <c r="K1186" s="7"/>
      <c r="L1186" s="7"/>
      <c r="M1186" s="7"/>
      <c r="N1186" s="7"/>
      <c r="O1186" s="7"/>
      <c r="P1186" s="7"/>
      <c r="Q1186" s="7"/>
      <c r="R1186" s="7"/>
    </row>
    <row r="1187" spans="1:18" x14ac:dyDescent="0.2">
      <c r="A1187" s="7"/>
      <c r="B1187" s="7"/>
      <c r="C1187" s="7"/>
      <c r="D1187" s="7"/>
      <c r="E1187" s="7"/>
      <c r="F1187" s="7"/>
      <c r="G1187" s="37"/>
      <c r="H1187" s="37"/>
      <c r="I1187" s="7"/>
      <c r="J1187" s="7"/>
      <c r="K1187" s="7"/>
      <c r="L1187" s="7"/>
      <c r="M1187" s="7"/>
      <c r="N1187" s="7"/>
      <c r="O1187" s="7"/>
      <c r="P1187" s="7"/>
      <c r="Q1187" s="7"/>
      <c r="R1187" s="7"/>
    </row>
    <row r="1188" spans="1:18" x14ac:dyDescent="0.2">
      <c r="A1188" s="7"/>
      <c r="B1188" s="7"/>
      <c r="C1188" s="7"/>
      <c r="D1188" s="7"/>
      <c r="E1188" s="7"/>
      <c r="F1188" s="7"/>
      <c r="G1188" s="37"/>
      <c r="H1188" s="37"/>
      <c r="I1188" s="7"/>
      <c r="J1188" s="7"/>
      <c r="K1188" s="7"/>
      <c r="L1188" s="7"/>
      <c r="M1188" s="7"/>
      <c r="N1188" s="7"/>
      <c r="O1188" s="7"/>
      <c r="P1188" s="7"/>
      <c r="Q1188" s="7"/>
      <c r="R1188" s="7"/>
    </row>
    <row r="1189" spans="1:18" x14ac:dyDescent="0.2">
      <c r="A1189" s="7"/>
      <c r="B1189" s="7"/>
      <c r="C1189" s="7"/>
      <c r="D1189" s="7"/>
      <c r="E1189" s="7"/>
      <c r="F1189" s="7"/>
      <c r="G1189" s="37"/>
      <c r="H1189" s="37"/>
      <c r="I1189" s="7"/>
      <c r="J1189" s="7"/>
      <c r="K1189" s="7"/>
      <c r="L1189" s="7"/>
      <c r="M1189" s="7"/>
      <c r="N1189" s="7"/>
      <c r="O1189" s="7"/>
      <c r="P1189" s="7"/>
      <c r="Q1189" s="7"/>
      <c r="R1189" s="7"/>
    </row>
    <row r="1190" spans="1:18" x14ac:dyDescent="0.2">
      <c r="A1190" s="7"/>
      <c r="B1190" s="7"/>
      <c r="C1190" s="7"/>
      <c r="D1190" s="7"/>
      <c r="E1190" s="7"/>
      <c r="F1190" s="7"/>
      <c r="G1190" s="166"/>
      <c r="H1190" s="166"/>
      <c r="I1190" s="7"/>
      <c r="J1190" s="7"/>
      <c r="K1190" s="7"/>
      <c r="L1190" s="7"/>
      <c r="M1190" s="7"/>
      <c r="N1190" s="7"/>
      <c r="O1190" s="7"/>
      <c r="P1190" s="7"/>
      <c r="Q1190" s="7"/>
      <c r="R1190" s="7"/>
    </row>
    <row r="1191" spans="1:18" x14ac:dyDescent="0.2">
      <c r="A1191" s="7"/>
      <c r="B1191" s="7"/>
      <c r="C1191" s="7"/>
      <c r="D1191" s="7"/>
      <c r="E1191" s="7"/>
      <c r="F1191" s="7"/>
      <c r="G1191" s="166"/>
      <c r="H1191" s="166"/>
      <c r="I1191" s="7"/>
      <c r="J1191" s="7"/>
      <c r="K1191" s="7"/>
      <c r="L1191" s="7"/>
      <c r="M1191" s="7"/>
      <c r="N1191" s="7"/>
      <c r="O1191" s="7"/>
      <c r="P1191" s="7"/>
      <c r="Q1191" s="7"/>
      <c r="R1191" s="7"/>
    </row>
    <row r="1192" spans="1:18" x14ac:dyDescent="0.2">
      <c r="A1192" s="7"/>
      <c r="B1192" s="7"/>
      <c r="C1192" s="7"/>
      <c r="D1192" s="7"/>
      <c r="E1192" s="7"/>
      <c r="F1192" s="7"/>
      <c r="G1192" s="168"/>
      <c r="H1192" s="163"/>
      <c r="I1192" s="7"/>
      <c r="J1192" s="7"/>
      <c r="K1192" s="7"/>
      <c r="L1192" s="7"/>
      <c r="M1192" s="7"/>
      <c r="N1192" s="7"/>
      <c r="O1192" s="7"/>
      <c r="P1192" s="7"/>
      <c r="Q1192" s="7"/>
      <c r="R1192" s="7"/>
    </row>
    <row r="1193" spans="1:18" x14ac:dyDescent="0.2">
      <c r="A1193" s="7"/>
      <c r="B1193" s="7"/>
      <c r="C1193" s="7"/>
      <c r="D1193" s="7"/>
      <c r="E1193" s="7"/>
      <c r="F1193" s="7"/>
      <c r="G1193" s="37"/>
      <c r="H1193" s="37"/>
      <c r="I1193" s="7"/>
      <c r="J1193" s="7"/>
      <c r="K1193" s="7"/>
      <c r="L1193" s="7"/>
      <c r="M1193" s="7"/>
      <c r="N1193" s="7"/>
      <c r="O1193" s="7"/>
      <c r="P1193" s="7"/>
      <c r="Q1193" s="7"/>
      <c r="R1193" s="7"/>
    </row>
    <row r="1194" spans="1:18" x14ac:dyDescent="0.2">
      <c r="A1194" s="7"/>
      <c r="B1194" s="7"/>
      <c r="C1194" s="7"/>
      <c r="D1194" s="7"/>
      <c r="E1194" s="7"/>
      <c r="F1194" s="7"/>
      <c r="G1194" s="168"/>
      <c r="H1194" s="163"/>
      <c r="I1194" s="7"/>
      <c r="J1194" s="7"/>
      <c r="K1194" s="7"/>
      <c r="L1194" s="7"/>
      <c r="M1194" s="7"/>
      <c r="N1194" s="7"/>
      <c r="O1194" s="7"/>
      <c r="P1194" s="7"/>
      <c r="Q1194" s="7"/>
      <c r="R1194" s="7"/>
    </row>
    <row r="1195" spans="1:18" x14ac:dyDescent="0.2">
      <c r="A1195" s="7"/>
      <c r="B1195" s="7"/>
      <c r="C1195" s="7"/>
      <c r="D1195" s="7"/>
      <c r="E1195" s="7"/>
      <c r="F1195" s="7"/>
      <c r="G1195" s="37"/>
      <c r="H1195" s="37"/>
      <c r="I1195" s="7"/>
      <c r="J1195" s="7"/>
      <c r="K1195" s="7"/>
      <c r="L1195" s="7"/>
      <c r="M1195" s="7"/>
      <c r="N1195" s="7"/>
      <c r="O1195" s="7"/>
      <c r="P1195" s="7"/>
      <c r="Q1195" s="7"/>
      <c r="R1195" s="7"/>
    </row>
    <row r="1196" spans="1:18" x14ac:dyDescent="0.2">
      <c r="A1196" s="7"/>
      <c r="B1196" s="7"/>
      <c r="C1196" s="7"/>
      <c r="D1196" s="7"/>
      <c r="E1196" s="7"/>
      <c r="F1196" s="7"/>
      <c r="G1196" s="163"/>
      <c r="H1196" s="163"/>
      <c r="I1196" s="7"/>
      <c r="J1196" s="7"/>
      <c r="K1196" s="7"/>
      <c r="L1196" s="7"/>
      <c r="M1196" s="7"/>
      <c r="N1196" s="7"/>
      <c r="O1196" s="7"/>
      <c r="P1196" s="7"/>
      <c r="Q1196" s="7"/>
      <c r="R1196" s="7"/>
    </row>
    <row r="1197" spans="1:18" x14ac:dyDescent="0.2">
      <c r="A1197" s="7"/>
      <c r="B1197" s="7"/>
      <c r="C1197" s="7"/>
      <c r="D1197" s="7"/>
      <c r="E1197" s="7"/>
      <c r="F1197" s="7"/>
      <c r="G1197" s="37"/>
      <c r="H1197" s="37"/>
      <c r="I1197" s="7"/>
      <c r="J1197" s="7"/>
      <c r="K1197" s="7"/>
      <c r="L1197" s="7"/>
      <c r="M1197" s="7"/>
      <c r="N1197" s="7"/>
      <c r="O1197" s="7"/>
      <c r="P1197" s="7"/>
      <c r="Q1197" s="7"/>
      <c r="R1197" s="7"/>
    </row>
    <row r="1198" spans="1:18" x14ac:dyDescent="0.2">
      <c r="A1198" s="7"/>
      <c r="B1198" s="7"/>
      <c r="C1198" s="7"/>
      <c r="D1198" s="7"/>
      <c r="E1198" s="7"/>
      <c r="F1198" s="7"/>
      <c r="G1198" s="37"/>
      <c r="H1198" s="37"/>
      <c r="I1198" s="7"/>
      <c r="J1198" s="7"/>
      <c r="K1198" s="7"/>
      <c r="L1198" s="7"/>
      <c r="M1198" s="7"/>
      <c r="N1198" s="7"/>
      <c r="O1198" s="7"/>
      <c r="P1198" s="7"/>
      <c r="Q1198" s="7"/>
      <c r="R1198" s="7"/>
    </row>
    <row r="1199" spans="1:18" x14ac:dyDescent="0.2">
      <c r="A1199" s="7"/>
      <c r="B1199" s="7"/>
      <c r="C1199" s="7"/>
      <c r="D1199" s="7"/>
      <c r="E1199" s="7"/>
      <c r="F1199" s="7"/>
      <c r="G1199" s="37"/>
      <c r="H1199" s="37"/>
      <c r="I1199" s="7"/>
      <c r="J1199" s="7"/>
      <c r="K1199" s="7"/>
      <c r="L1199" s="7"/>
      <c r="M1199" s="7"/>
      <c r="N1199" s="7"/>
      <c r="O1199" s="7"/>
      <c r="P1199" s="7"/>
      <c r="Q1199" s="7"/>
      <c r="R1199" s="7"/>
    </row>
    <row r="1200" spans="1:18" x14ac:dyDescent="0.2">
      <c r="A1200" s="7"/>
      <c r="B1200" s="7"/>
      <c r="C1200" s="7"/>
      <c r="D1200" s="7"/>
      <c r="E1200" s="7"/>
      <c r="F1200" s="7"/>
      <c r="G1200" s="37"/>
      <c r="H1200" s="37"/>
      <c r="I1200" s="7"/>
      <c r="J1200" s="7"/>
      <c r="K1200" s="7"/>
      <c r="L1200" s="7"/>
      <c r="M1200" s="7"/>
      <c r="N1200" s="7"/>
      <c r="O1200" s="7"/>
      <c r="P1200" s="7"/>
      <c r="Q1200" s="7"/>
      <c r="R1200" s="7"/>
    </row>
    <row r="1201" spans="1:18" x14ac:dyDescent="0.2">
      <c r="A1201" s="7"/>
      <c r="B1201" s="7"/>
      <c r="C1201" s="7"/>
      <c r="D1201" s="7"/>
      <c r="E1201" s="7"/>
      <c r="F1201" s="7"/>
      <c r="G1201" s="37"/>
      <c r="H1201" s="37"/>
      <c r="I1201" s="7"/>
      <c r="J1201" s="7"/>
      <c r="K1201" s="7"/>
      <c r="L1201" s="7"/>
      <c r="M1201" s="7"/>
      <c r="N1201" s="7"/>
      <c r="O1201" s="7"/>
      <c r="P1201" s="7"/>
      <c r="Q1201" s="7"/>
      <c r="R1201" s="7"/>
    </row>
    <row r="1202" spans="1:18" x14ac:dyDescent="0.2">
      <c r="A1202" s="7"/>
      <c r="B1202" s="7"/>
      <c r="C1202" s="7"/>
      <c r="D1202" s="7"/>
      <c r="E1202" s="7"/>
      <c r="F1202" s="7"/>
      <c r="G1202" s="37"/>
      <c r="H1202" s="37"/>
      <c r="I1202" s="7"/>
      <c r="J1202" s="7"/>
      <c r="K1202" s="7"/>
      <c r="L1202" s="7"/>
      <c r="M1202" s="7"/>
      <c r="N1202" s="7"/>
      <c r="O1202" s="7"/>
      <c r="P1202" s="7"/>
      <c r="Q1202" s="7"/>
      <c r="R1202" s="7"/>
    </row>
    <row r="1203" spans="1:18" x14ac:dyDescent="0.2">
      <c r="A1203" s="7"/>
      <c r="B1203" s="7"/>
      <c r="C1203" s="7"/>
      <c r="D1203" s="7"/>
      <c r="E1203" s="7"/>
      <c r="F1203" s="7"/>
      <c r="G1203" s="37"/>
      <c r="H1203" s="37"/>
      <c r="I1203" s="7"/>
      <c r="J1203" s="7"/>
      <c r="K1203" s="7"/>
      <c r="L1203" s="7"/>
      <c r="M1203" s="7"/>
      <c r="N1203" s="7"/>
      <c r="O1203" s="7"/>
      <c r="P1203" s="7"/>
      <c r="Q1203" s="7"/>
      <c r="R1203" s="7"/>
    </row>
    <row r="1204" spans="1:18" x14ac:dyDescent="0.2">
      <c r="A1204" s="7"/>
      <c r="B1204" s="7"/>
      <c r="C1204" s="7"/>
      <c r="D1204" s="7"/>
      <c r="E1204" s="7"/>
      <c r="F1204" s="7"/>
      <c r="G1204" s="37"/>
      <c r="H1204" s="37"/>
      <c r="I1204" s="7"/>
      <c r="J1204" s="7"/>
      <c r="K1204" s="7"/>
      <c r="L1204" s="7"/>
      <c r="M1204" s="7"/>
      <c r="N1204" s="7"/>
      <c r="O1204" s="7"/>
      <c r="P1204" s="7"/>
      <c r="Q1204" s="7"/>
      <c r="R1204" s="7"/>
    </row>
    <row r="1205" spans="1:18" x14ac:dyDescent="0.2">
      <c r="A1205" s="7"/>
      <c r="B1205" s="7"/>
      <c r="C1205" s="7"/>
      <c r="D1205" s="7"/>
      <c r="E1205" s="7"/>
      <c r="F1205" s="7"/>
      <c r="G1205" s="37"/>
      <c r="H1205" s="37"/>
      <c r="I1205" s="7"/>
      <c r="J1205" s="7"/>
      <c r="K1205" s="7"/>
      <c r="L1205" s="7"/>
      <c r="M1205" s="7"/>
      <c r="N1205" s="7"/>
      <c r="O1205" s="7"/>
      <c r="P1205" s="7"/>
      <c r="Q1205" s="7"/>
      <c r="R1205" s="7"/>
    </row>
    <row r="1206" spans="1:18" x14ac:dyDescent="0.2">
      <c r="A1206" s="7"/>
      <c r="B1206" s="7"/>
      <c r="C1206" s="7"/>
      <c r="D1206" s="7"/>
      <c r="E1206" s="7"/>
      <c r="F1206" s="7"/>
      <c r="G1206" s="37"/>
      <c r="H1206" s="37"/>
      <c r="I1206" s="7"/>
      <c r="J1206" s="7"/>
      <c r="K1206" s="7"/>
      <c r="L1206" s="7"/>
      <c r="M1206" s="7"/>
      <c r="N1206" s="7"/>
      <c r="O1206" s="7"/>
      <c r="P1206" s="7"/>
      <c r="Q1206" s="7"/>
      <c r="R1206" s="7"/>
    </row>
    <row r="1207" spans="1:18" x14ac:dyDescent="0.2">
      <c r="A1207" s="7"/>
      <c r="B1207" s="7"/>
      <c r="C1207" s="7"/>
      <c r="D1207" s="7"/>
      <c r="E1207" s="7"/>
      <c r="F1207" s="7"/>
      <c r="G1207" s="37"/>
      <c r="H1207" s="37"/>
      <c r="I1207" s="7"/>
      <c r="J1207" s="7"/>
      <c r="K1207" s="7"/>
      <c r="L1207" s="7"/>
      <c r="M1207" s="7"/>
      <c r="N1207" s="7"/>
      <c r="O1207" s="7"/>
      <c r="P1207" s="7"/>
      <c r="Q1207" s="7"/>
      <c r="R1207" s="7"/>
    </row>
    <row r="1208" spans="1:18" x14ac:dyDescent="0.2">
      <c r="A1208" s="7"/>
      <c r="B1208" s="7"/>
      <c r="C1208" s="7"/>
      <c r="D1208" s="7"/>
      <c r="E1208" s="7"/>
      <c r="F1208" s="7"/>
      <c r="G1208" s="37"/>
      <c r="H1208" s="37"/>
      <c r="I1208" s="7"/>
      <c r="J1208" s="7"/>
      <c r="K1208" s="7"/>
      <c r="L1208" s="7"/>
      <c r="M1208" s="7"/>
      <c r="N1208" s="7"/>
      <c r="O1208" s="7"/>
      <c r="P1208" s="7"/>
      <c r="Q1208" s="7"/>
      <c r="R1208" s="7"/>
    </row>
    <row r="1209" spans="1:18" x14ac:dyDescent="0.2">
      <c r="A1209" s="7"/>
      <c r="B1209" s="7"/>
      <c r="C1209" s="7"/>
      <c r="D1209" s="7"/>
      <c r="E1209" s="7"/>
      <c r="F1209" s="7"/>
      <c r="G1209" s="37"/>
      <c r="H1209" s="37"/>
      <c r="I1209" s="7"/>
      <c r="J1209" s="7"/>
      <c r="K1209" s="7"/>
      <c r="L1209" s="7"/>
      <c r="M1209" s="7"/>
      <c r="N1209" s="7"/>
      <c r="O1209" s="7"/>
      <c r="P1209" s="7"/>
      <c r="Q1209" s="7"/>
      <c r="R1209" s="7"/>
    </row>
    <row r="1210" spans="1:18" x14ac:dyDescent="0.2">
      <c r="A1210" s="7"/>
      <c r="B1210" s="7"/>
      <c r="C1210" s="7"/>
      <c r="D1210" s="7"/>
      <c r="E1210" s="7"/>
      <c r="F1210" s="7"/>
      <c r="G1210" s="37"/>
      <c r="H1210" s="37"/>
      <c r="I1210" s="7"/>
      <c r="J1210" s="7"/>
      <c r="K1210" s="7"/>
      <c r="L1210" s="7"/>
      <c r="M1210" s="7"/>
      <c r="N1210" s="7"/>
      <c r="O1210" s="7"/>
      <c r="P1210" s="7"/>
      <c r="Q1210" s="7"/>
      <c r="R1210" s="7"/>
    </row>
    <row r="1211" spans="1:18" x14ac:dyDescent="0.2">
      <c r="A1211" s="7"/>
      <c r="B1211" s="7"/>
      <c r="C1211" s="7"/>
      <c r="D1211" s="7"/>
      <c r="E1211" s="7"/>
      <c r="F1211" s="7"/>
      <c r="G1211" s="37"/>
      <c r="H1211" s="37"/>
      <c r="I1211" s="7"/>
      <c r="J1211" s="7"/>
      <c r="K1211" s="7"/>
      <c r="L1211" s="7"/>
      <c r="M1211" s="7"/>
      <c r="N1211" s="7"/>
      <c r="O1211" s="7"/>
      <c r="P1211" s="7"/>
      <c r="Q1211" s="7"/>
      <c r="R1211" s="7"/>
    </row>
    <row r="1212" spans="1:18" x14ac:dyDescent="0.2">
      <c r="A1212" s="7"/>
      <c r="B1212" s="7"/>
      <c r="C1212" s="7"/>
      <c r="D1212" s="7"/>
      <c r="E1212" s="7"/>
      <c r="F1212" s="7"/>
      <c r="G1212" s="169"/>
      <c r="H1212" s="163"/>
      <c r="I1212" s="7"/>
      <c r="J1212" s="7"/>
      <c r="K1212" s="7"/>
      <c r="L1212" s="7"/>
      <c r="M1212" s="7"/>
      <c r="N1212" s="7"/>
      <c r="O1212" s="7"/>
      <c r="P1212" s="7"/>
      <c r="Q1212" s="7"/>
      <c r="R1212" s="7"/>
    </row>
    <row r="1213" spans="1:18" x14ac:dyDescent="0.2">
      <c r="A1213" s="7"/>
      <c r="B1213" s="7"/>
      <c r="C1213" s="7"/>
      <c r="D1213" s="7"/>
      <c r="E1213" s="7"/>
      <c r="F1213" s="7"/>
      <c r="G1213" s="37"/>
      <c r="H1213" s="37"/>
      <c r="I1213" s="7"/>
      <c r="J1213" s="7"/>
      <c r="K1213" s="7"/>
      <c r="L1213" s="7"/>
      <c r="M1213" s="7"/>
      <c r="N1213" s="7"/>
      <c r="O1213" s="7"/>
      <c r="P1213" s="7"/>
      <c r="Q1213" s="7"/>
      <c r="R1213" s="7"/>
    </row>
    <row r="1214" spans="1:18" x14ac:dyDescent="0.2">
      <c r="A1214" s="7"/>
      <c r="B1214" s="7"/>
      <c r="C1214" s="7"/>
      <c r="D1214" s="7"/>
      <c r="E1214" s="7"/>
      <c r="F1214" s="7"/>
      <c r="G1214" s="37"/>
      <c r="H1214" s="37"/>
      <c r="I1214" s="7"/>
      <c r="J1214" s="7"/>
      <c r="K1214" s="7"/>
      <c r="L1214" s="7"/>
      <c r="M1214" s="7"/>
      <c r="N1214" s="7"/>
      <c r="O1214" s="7"/>
      <c r="P1214" s="7"/>
      <c r="Q1214" s="7"/>
      <c r="R1214" s="7"/>
    </row>
    <row r="1215" spans="1:18" x14ac:dyDescent="0.2">
      <c r="A1215" s="7"/>
      <c r="B1215" s="7"/>
      <c r="C1215" s="7"/>
      <c r="D1215" s="7"/>
      <c r="E1215" s="7"/>
      <c r="F1215" s="7"/>
      <c r="G1215" s="37"/>
      <c r="H1215" s="37"/>
      <c r="I1215" s="7"/>
      <c r="J1215" s="7"/>
      <c r="K1215" s="7"/>
      <c r="L1215" s="7"/>
      <c r="M1215" s="7"/>
      <c r="N1215" s="7"/>
      <c r="O1215" s="7"/>
      <c r="P1215" s="7"/>
      <c r="Q1215" s="7"/>
      <c r="R1215" s="7"/>
    </row>
    <row r="1216" spans="1:18" x14ac:dyDescent="0.2">
      <c r="A1216" s="7"/>
      <c r="B1216" s="7"/>
      <c r="C1216" s="7"/>
      <c r="D1216" s="7"/>
      <c r="E1216" s="7"/>
      <c r="F1216" s="7"/>
      <c r="G1216" s="37"/>
      <c r="H1216" s="37"/>
      <c r="I1216" s="7"/>
      <c r="J1216" s="7"/>
      <c r="K1216" s="7"/>
      <c r="L1216" s="7"/>
      <c r="M1216" s="7"/>
      <c r="N1216" s="7"/>
      <c r="O1216" s="7"/>
      <c r="P1216" s="7"/>
      <c r="Q1216" s="7"/>
      <c r="R1216" s="7"/>
    </row>
    <row r="1217" spans="1:18" x14ac:dyDescent="0.2">
      <c r="A1217" s="7"/>
      <c r="B1217" s="7"/>
      <c r="C1217" s="7"/>
      <c r="D1217" s="7"/>
      <c r="E1217" s="7"/>
      <c r="F1217" s="7"/>
      <c r="G1217" s="37"/>
      <c r="H1217" s="37"/>
      <c r="I1217" s="7"/>
      <c r="J1217" s="7"/>
      <c r="K1217" s="7"/>
      <c r="L1217" s="7"/>
      <c r="M1217" s="7"/>
      <c r="N1217" s="7"/>
      <c r="O1217" s="7"/>
      <c r="P1217" s="7"/>
      <c r="Q1217" s="7"/>
      <c r="R1217" s="7"/>
    </row>
    <row r="1218" spans="1:18" x14ac:dyDescent="0.2">
      <c r="A1218" s="7"/>
      <c r="B1218" s="7"/>
      <c r="C1218" s="7"/>
      <c r="D1218" s="7"/>
      <c r="E1218" s="7"/>
      <c r="F1218" s="7"/>
      <c r="G1218" s="37"/>
      <c r="H1218" s="37"/>
      <c r="I1218" s="7"/>
      <c r="J1218" s="7"/>
      <c r="K1218" s="7"/>
      <c r="L1218" s="7"/>
      <c r="M1218" s="7"/>
      <c r="N1218" s="7"/>
      <c r="O1218" s="7"/>
      <c r="P1218" s="7"/>
      <c r="Q1218" s="7"/>
      <c r="R1218" s="7"/>
    </row>
    <row r="1219" spans="1:18" x14ac:dyDescent="0.2">
      <c r="A1219" s="7"/>
      <c r="B1219" s="7"/>
      <c r="C1219" s="7"/>
      <c r="D1219" s="7"/>
      <c r="E1219" s="7"/>
      <c r="F1219" s="7"/>
      <c r="G1219" s="37"/>
      <c r="H1219" s="37"/>
      <c r="I1219" s="7"/>
      <c r="J1219" s="7"/>
      <c r="K1219" s="7"/>
      <c r="L1219" s="7"/>
      <c r="M1219" s="7"/>
      <c r="N1219" s="7"/>
      <c r="O1219" s="7"/>
      <c r="P1219" s="7"/>
      <c r="Q1219" s="7"/>
      <c r="R1219" s="7"/>
    </row>
    <row r="1220" spans="1:18" x14ac:dyDescent="0.2">
      <c r="A1220" s="7"/>
      <c r="B1220" s="7"/>
      <c r="C1220" s="7"/>
      <c r="D1220" s="7"/>
      <c r="E1220" s="7"/>
      <c r="F1220" s="7"/>
      <c r="G1220" s="37"/>
      <c r="H1220" s="37"/>
      <c r="I1220" s="7"/>
      <c r="J1220" s="7"/>
      <c r="K1220" s="7"/>
      <c r="L1220" s="7"/>
      <c r="M1220" s="7"/>
      <c r="N1220" s="7"/>
      <c r="O1220" s="7"/>
      <c r="P1220" s="7"/>
      <c r="Q1220" s="7"/>
      <c r="R1220" s="7"/>
    </row>
    <row r="1221" spans="1:18" x14ac:dyDescent="0.2">
      <c r="A1221" s="7"/>
      <c r="B1221" s="7"/>
      <c r="C1221" s="7"/>
      <c r="D1221" s="7"/>
      <c r="E1221" s="7"/>
      <c r="F1221" s="7"/>
      <c r="G1221" s="37"/>
      <c r="H1221" s="37"/>
      <c r="I1221" s="7"/>
      <c r="J1221" s="7"/>
      <c r="K1221" s="7"/>
      <c r="L1221" s="7"/>
      <c r="M1221" s="7"/>
      <c r="N1221" s="7"/>
      <c r="O1221" s="7"/>
      <c r="P1221" s="7"/>
      <c r="Q1221" s="7"/>
      <c r="R1221" s="7"/>
    </row>
    <row r="1222" spans="1:18" x14ac:dyDescent="0.2">
      <c r="A1222" s="7"/>
      <c r="B1222" s="7"/>
      <c r="C1222" s="7"/>
      <c r="D1222" s="7"/>
      <c r="E1222" s="7"/>
      <c r="F1222" s="7"/>
      <c r="G1222" s="37"/>
      <c r="H1222" s="37"/>
      <c r="I1222" s="7"/>
      <c r="J1222" s="7"/>
      <c r="K1222" s="7"/>
      <c r="L1222" s="7"/>
      <c r="M1222" s="7"/>
      <c r="N1222" s="7"/>
      <c r="O1222" s="7"/>
      <c r="P1222" s="7"/>
      <c r="Q1222" s="7"/>
      <c r="R1222" s="7"/>
    </row>
    <row r="1223" spans="1:18" x14ac:dyDescent="0.2">
      <c r="A1223" s="7"/>
      <c r="B1223" s="7"/>
      <c r="C1223" s="7"/>
      <c r="D1223" s="7"/>
      <c r="E1223" s="7"/>
      <c r="F1223" s="7"/>
      <c r="G1223" s="37"/>
      <c r="H1223" s="37"/>
      <c r="I1223" s="7"/>
      <c r="J1223" s="7"/>
      <c r="K1223" s="7"/>
      <c r="L1223" s="7"/>
      <c r="M1223" s="7"/>
      <c r="N1223" s="7"/>
      <c r="O1223" s="7"/>
      <c r="P1223" s="7"/>
      <c r="Q1223" s="7"/>
      <c r="R1223" s="7"/>
    </row>
    <row r="1224" spans="1:18" x14ac:dyDescent="0.2">
      <c r="A1224" s="7"/>
      <c r="B1224" s="7"/>
      <c r="C1224" s="7"/>
      <c r="D1224" s="7"/>
      <c r="E1224" s="7"/>
      <c r="F1224" s="7"/>
      <c r="G1224" s="170"/>
      <c r="H1224" s="163"/>
      <c r="I1224" s="7"/>
      <c r="J1224" s="7"/>
      <c r="K1224" s="7"/>
      <c r="L1224" s="7"/>
      <c r="M1224" s="7"/>
      <c r="N1224" s="7"/>
      <c r="O1224" s="7"/>
      <c r="P1224" s="7"/>
      <c r="Q1224" s="7"/>
      <c r="R1224" s="7"/>
    </row>
    <row r="1225" spans="1:18" x14ac:dyDescent="0.2">
      <c r="A1225" s="7"/>
      <c r="B1225" s="7"/>
      <c r="C1225" s="7"/>
      <c r="D1225" s="7"/>
      <c r="E1225" s="7"/>
      <c r="F1225" s="7"/>
      <c r="G1225" s="37"/>
      <c r="H1225" s="37"/>
      <c r="I1225" s="7"/>
      <c r="J1225" s="7"/>
      <c r="K1225" s="7"/>
      <c r="L1225" s="7"/>
      <c r="M1225" s="7"/>
      <c r="N1225" s="7"/>
      <c r="O1225" s="7"/>
      <c r="P1225" s="7"/>
      <c r="Q1225" s="7"/>
      <c r="R1225" s="7"/>
    </row>
    <row r="1226" spans="1:18" x14ac:dyDescent="0.2">
      <c r="A1226" s="7"/>
      <c r="B1226" s="7"/>
      <c r="C1226" s="7"/>
      <c r="D1226" s="7"/>
      <c r="E1226" s="7"/>
      <c r="F1226" s="7"/>
      <c r="G1226" s="37"/>
      <c r="H1226" s="37"/>
      <c r="I1226" s="7"/>
      <c r="J1226" s="7"/>
      <c r="K1226" s="7"/>
      <c r="L1226" s="7"/>
      <c r="M1226" s="7"/>
      <c r="N1226" s="7"/>
      <c r="O1226" s="7"/>
      <c r="P1226" s="7"/>
      <c r="Q1226" s="7"/>
      <c r="R1226" s="7"/>
    </row>
    <row r="1227" spans="1:18" x14ac:dyDescent="0.2">
      <c r="A1227" s="7"/>
      <c r="B1227" s="7"/>
      <c r="C1227" s="7"/>
      <c r="D1227" s="7"/>
      <c r="E1227" s="7"/>
      <c r="F1227" s="7"/>
      <c r="G1227" s="163"/>
      <c r="H1227" s="163"/>
      <c r="I1227" s="7"/>
      <c r="J1227" s="7"/>
      <c r="K1227" s="7"/>
      <c r="L1227" s="7"/>
      <c r="M1227" s="7"/>
      <c r="N1227" s="7"/>
      <c r="O1227" s="7"/>
      <c r="P1227" s="7"/>
      <c r="Q1227" s="7"/>
      <c r="R1227" s="7"/>
    </row>
    <row r="1228" spans="1:18" x14ac:dyDescent="0.2">
      <c r="A1228" s="7"/>
      <c r="B1228" s="7"/>
      <c r="C1228" s="7"/>
      <c r="D1228" s="7"/>
      <c r="E1228" s="7"/>
      <c r="F1228" s="7"/>
      <c r="G1228" s="37"/>
      <c r="H1228" s="37"/>
      <c r="I1228" s="7"/>
      <c r="J1228" s="7"/>
      <c r="K1228" s="7"/>
      <c r="L1228" s="7"/>
      <c r="M1228" s="7"/>
      <c r="N1228" s="7"/>
      <c r="O1228" s="7"/>
      <c r="P1228" s="7"/>
      <c r="Q1228" s="7"/>
      <c r="R1228" s="7"/>
    </row>
    <row r="1229" spans="1:18" x14ac:dyDescent="0.2">
      <c r="A1229" s="7"/>
      <c r="B1229" s="7"/>
      <c r="C1229" s="7"/>
      <c r="D1229" s="7"/>
      <c r="E1229" s="7"/>
      <c r="F1229" s="7"/>
      <c r="G1229" s="37"/>
      <c r="H1229" s="37"/>
      <c r="I1229" s="7"/>
      <c r="J1229" s="7"/>
      <c r="K1229" s="7"/>
      <c r="L1229" s="7"/>
      <c r="M1229" s="7"/>
      <c r="N1229" s="7"/>
      <c r="O1229" s="7"/>
      <c r="P1229" s="7"/>
      <c r="Q1229" s="7"/>
      <c r="R1229" s="7"/>
    </row>
    <row r="1230" spans="1:18" x14ac:dyDescent="0.2">
      <c r="A1230" s="7"/>
      <c r="B1230" s="7"/>
      <c r="C1230" s="7"/>
      <c r="D1230" s="7"/>
      <c r="E1230" s="7"/>
      <c r="F1230" s="7"/>
      <c r="H1230" s="37"/>
      <c r="I1230" s="7"/>
      <c r="J1230" s="7"/>
      <c r="K1230" s="7"/>
      <c r="L1230" s="7"/>
      <c r="M1230" s="7"/>
      <c r="N1230" s="7"/>
      <c r="O1230" s="7"/>
      <c r="P1230" s="7"/>
      <c r="Q1230" s="7"/>
      <c r="R1230" s="7"/>
    </row>
    <row r="1231" spans="1:18" x14ac:dyDescent="0.2">
      <c r="A1231" s="7"/>
      <c r="B1231" s="7"/>
      <c r="C1231" s="7"/>
      <c r="D1231" s="7"/>
      <c r="E1231" s="7"/>
      <c r="F1231" s="7"/>
      <c r="H1231" s="37"/>
      <c r="I1231" s="7"/>
      <c r="J1231" s="7"/>
      <c r="K1231" s="7"/>
      <c r="L1231" s="7"/>
      <c r="M1231" s="7"/>
      <c r="N1231" s="7"/>
      <c r="O1231" s="7"/>
      <c r="P1231" s="7"/>
      <c r="Q1231" s="7"/>
      <c r="R1231" s="7"/>
    </row>
    <row r="1232" spans="1:18" x14ac:dyDescent="0.2">
      <c r="A1232" s="7"/>
      <c r="B1232" s="7"/>
      <c r="C1232" s="7"/>
      <c r="D1232" s="7"/>
      <c r="E1232" s="7"/>
      <c r="F1232" s="7"/>
      <c r="G1232" s="169"/>
      <c r="H1232" s="163"/>
      <c r="I1232" s="7"/>
      <c r="J1232" s="7"/>
      <c r="K1232" s="7"/>
      <c r="L1232" s="7"/>
      <c r="M1232" s="7"/>
      <c r="N1232" s="7"/>
      <c r="O1232" s="7"/>
      <c r="P1232" s="7"/>
      <c r="Q1232" s="7"/>
      <c r="R1232" s="7"/>
    </row>
    <row r="1233" spans="1:18" x14ac:dyDescent="0.2">
      <c r="A1233" s="7"/>
      <c r="B1233" s="7"/>
      <c r="C1233" s="7"/>
      <c r="D1233" s="7"/>
      <c r="E1233" s="7"/>
      <c r="F1233" s="7"/>
      <c r="G1233" s="37"/>
      <c r="H1233" s="37"/>
      <c r="I1233" s="7"/>
      <c r="J1233" s="7"/>
      <c r="K1233" s="7"/>
      <c r="L1233" s="7"/>
      <c r="M1233" s="7"/>
      <c r="N1233" s="7"/>
      <c r="O1233" s="7"/>
      <c r="P1233" s="7"/>
      <c r="Q1233" s="7"/>
      <c r="R1233" s="7"/>
    </row>
    <row r="1234" spans="1:18" x14ac:dyDescent="0.2">
      <c r="A1234" s="7"/>
      <c r="B1234" s="7"/>
      <c r="C1234" s="7"/>
      <c r="D1234" s="7"/>
      <c r="E1234" s="7"/>
      <c r="F1234" s="7"/>
      <c r="G1234" s="37"/>
      <c r="H1234" s="37"/>
      <c r="I1234" s="7"/>
      <c r="J1234" s="7"/>
      <c r="K1234" s="7"/>
      <c r="L1234" s="7"/>
      <c r="M1234" s="7"/>
      <c r="N1234" s="7"/>
      <c r="O1234" s="7"/>
      <c r="P1234" s="7"/>
      <c r="Q1234" s="7"/>
      <c r="R1234" s="7"/>
    </row>
    <row r="1235" spans="1:18" x14ac:dyDescent="0.2">
      <c r="A1235" s="7"/>
      <c r="B1235" s="7"/>
      <c r="C1235" s="7"/>
      <c r="D1235" s="7"/>
      <c r="E1235" s="7"/>
      <c r="F1235" s="7"/>
      <c r="G1235" s="37"/>
      <c r="H1235" s="37"/>
      <c r="I1235" s="7"/>
      <c r="J1235" s="7"/>
      <c r="K1235" s="7"/>
      <c r="L1235" s="7"/>
      <c r="M1235" s="7"/>
      <c r="N1235" s="7"/>
      <c r="O1235" s="7"/>
      <c r="P1235" s="7"/>
      <c r="Q1235" s="7"/>
      <c r="R1235" s="7"/>
    </row>
    <row r="1236" spans="1:18" x14ac:dyDescent="0.2">
      <c r="A1236" s="7"/>
      <c r="B1236" s="7"/>
      <c r="C1236" s="7"/>
      <c r="D1236" s="7"/>
      <c r="E1236" s="7"/>
      <c r="F1236" s="7"/>
      <c r="G1236" s="37"/>
      <c r="H1236" s="37"/>
      <c r="I1236" s="7"/>
      <c r="J1236" s="7"/>
      <c r="K1236" s="7"/>
      <c r="L1236" s="7"/>
      <c r="M1236" s="7"/>
      <c r="N1236" s="7"/>
      <c r="O1236" s="7"/>
      <c r="P1236" s="7"/>
      <c r="Q1236" s="7"/>
      <c r="R1236" s="7"/>
    </row>
    <row r="1237" spans="1:18" x14ac:dyDescent="0.2">
      <c r="A1237" s="7"/>
      <c r="B1237" s="7"/>
      <c r="C1237" s="7"/>
      <c r="D1237" s="7"/>
      <c r="E1237" s="7"/>
      <c r="F1237" s="7"/>
      <c r="G1237" s="37"/>
      <c r="H1237" s="37"/>
      <c r="I1237" s="7"/>
      <c r="J1237" s="7"/>
      <c r="K1237" s="7"/>
      <c r="L1237" s="7"/>
      <c r="M1237" s="7"/>
      <c r="N1237" s="7"/>
      <c r="O1237" s="7"/>
      <c r="P1237" s="7"/>
      <c r="Q1237" s="7"/>
      <c r="R1237" s="7"/>
    </row>
    <row r="1238" spans="1:18" x14ac:dyDescent="0.2">
      <c r="A1238" s="7"/>
      <c r="B1238" s="7"/>
      <c r="C1238" s="7"/>
      <c r="D1238" s="7"/>
      <c r="E1238" s="7"/>
      <c r="F1238" s="7"/>
      <c r="G1238" s="169"/>
      <c r="H1238" s="163"/>
      <c r="I1238" s="7"/>
      <c r="J1238" s="7"/>
      <c r="K1238" s="7"/>
      <c r="L1238" s="7"/>
      <c r="M1238" s="7"/>
      <c r="N1238" s="7"/>
      <c r="O1238" s="7"/>
      <c r="P1238" s="7"/>
      <c r="Q1238" s="7"/>
      <c r="R1238" s="7"/>
    </row>
    <row r="1239" spans="1:18" x14ac:dyDescent="0.2">
      <c r="A1239" s="7"/>
      <c r="B1239" s="7"/>
      <c r="C1239" s="7"/>
      <c r="D1239" s="7"/>
      <c r="E1239" s="7"/>
      <c r="F1239" s="7"/>
      <c r="G1239" s="37"/>
      <c r="H1239" s="37"/>
      <c r="I1239" s="7"/>
      <c r="J1239" s="7"/>
      <c r="K1239" s="7"/>
      <c r="L1239" s="7"/>
      <c r="M1239" s="7"/>
      <c r="N1239" s="7"/>
      <c r="O1239" s="7"/>
      <c r="P1239" s="7"/>
      <c r="Q1239" s="7"/>
      <c r="R1239" s="7"/>
    </row>
    <row r="1240" spans="1:18" x14ac:dyDescent="0.2">
      <c r="A1240" s="7"/>
      <c r="B1240" s="7"/>
      <c r="C1240" s="7"/>
      <c r="D1240" s="7"/>
      <c r="E1240" s="7"/>
      <c r="F1240" s="7"/>
      <c r="G1240" s="163"/>
      <c r="H1240" s="163"/>
      <c r="I1240" s="7"/>
      <c r="J1240" s="7"/>
      <c r="K1240" s="7"/>
      <c r="L1240" s="7"/>
      <c r="M1240" s="7"/>
      <c r="N1240" s="7"/>
      <c r="O1240" s="7"/>
      <c r="P1240" s="7"/>
      <c r="Q1240" s="7"/>
      <c r="R1240" s="7"/>
    </row>
    <row r="1241" spans="1:18" x14ac:dyDescent="0.2">
      <c r="A1241" s="7"/>
      <c r="B1241" s="7"/>
      <c r="C1241" s="7"/>
      <c r="D1241" s="7"/>
      <c r="E1241" s="7"/>
      <c r="F1241" s="7"/>
      <c r="G1241" s="37"/>
      <c r="H1241" s="37"/>
      <c r="I1241" s="7"/>
      <c r="J1241" s="7"/>
      <c r="K1241" s="7"/>
      <c r="L1241" s="7"/>
      <c r="M1241" s="7"/>
      <c r="N1241" s="7"/>
      <c r="O1241" s="7"/>
      <c r="P1241" s="7"/>
      <c r="Q1241" s="7"/>
      <c r="R1241" s="7"/>
    </row>
    <row r="1242" spans="1:18" x14ac:dyDescent="0.2">
      <c r="A1242" s="7"/>
      <c r="B1242" s="7"/>
      <c r="C1242" s="7"/>
      <c r="D1242" s="7"/>
      <c r="E1242" s="7"/>
      <c r="F1242" s="7"/>
      <c r="G1242" s="37"/>
      <c r="H1242" s="37"/>
      <c r="I1242" s="7"/>
      <c r="J1242" s="7"/>
      <c r="K1242" s="7"/>
      <c r="L1242" s="7"/>
      <c r="M1242" s="7"/>
      <c r="N1242" s="7"/>
      <c r="O1242" s="7"/>
      <c r="P1242" s="7"/>
      <c r="Q1242" s="7"/>
      <c r="R1242" s="7"/>
    </row>
    <row r="1243" spans="1:18" x14ac:dyDescent="0.2">
      <c r="A1243" s="7"/>
      <c r="B1243" s="7"/>
      <c r="C1243" s="7"/>
      <c r="D1243" s="7"/>
      <c r="E1243" s="7"/>
      <c r="F1243" s="7"/>
      <c r="G1243" s="37"/>
      <c r="H1243" s="37"/>
      <c r="I1243" s="7"/>
      <c r="J1243" s="7"/>
      <c r="K1243" s="7"/>
      <c r="L1243" s="7"/>
      <c r="M1243" s="7"/>
      <c r="N1243" s="7"/>
      <c r="O1243" s="7"/>
      <c r="P1243" s="7"/>
      <c r="Q1243" s="7"/>
      <c r="R1243" s="7"/>
    </row>
    <row r="1244" spans="1:18" x14ac:dyDescent="0.2">
      <c r="A1244" s="7"/>
      <c r="B1244" s="7"/>
      <c r="C1244" s="7"/>
      <c r="D1244" s="7"/>
      <c r="E1244" s="7"/>
      <c r="F1244" s="7"/>
      <c r="G1244" s="163"/>
      <c r="H1244" s="163"/>
      <c r="I1244" s="7"/>
      <c r="J1244" s="7"/>
      <c r="K1244" s="7"/>
      <c r="L1244" s="7"/>
      <c r="M1244" s="7"/>
      <c r="N1244" s="7"/>
      <c r="O1244" s="7"/>
      <c r="P1244" s="7"/>
      <c r="Q1244" s="7"/>
      <c r="R1244" s="7"/>
    </row>
    <row r="1245" spans="1:18" x14ac:dyDescent="0.2">
      <c r="A1245" s="7"/>
      <c r="B1245" s="7"/>
      <c r="C1245" s="7"/>
      <c r="D1245" s="7"/>
      <c r="E1245" s="7"/>
      <c r="F1245" s="7"/>
      <c r="G1245" s="37"/>
      <c r="H1245" s="37"/>
      <c r="I1245" s="7"/>
      <c r="J1245" s="7"/>
      <c r="K1245" s="7"/>
      <c r="L1245" s="7"/>
      <c r="M1245" s="7"/>
      <c r="N1245" s="7"/>
      <c r="O1245" s="7"/>
      <c r="P1245" s="7"/>
      <c r="Q1245" s="7"/>
      <c r="R1245" s="7"/>
    </row>
    <row r="1246" spans="1:18" x14ac:dyDescent="0.2">
      <c r="A1246" s="7"/>
      <c r="B1246" s="7"/>
      <c r="C1246" s="7"/>
      <c r="D1246" s="7"/>
      <c r="E1246" s="7"/>
      <c r="F1246" s="7"/>
      <c r="G1246" s="106"/>
      <c r="H1246" s="37"/>
      <c r="I1246" s="7"/>
      <c r="J1246" s="7"/>
      <c r="K1246" s="7"/>
      <c r="L1246" s="7"/>
      <c r="M1246" s="7"/>
      <c r="N1246" s="7"/>
      <c r="O1246" s="7"/>
      <c r="P1246" s="7"/>
      <c r="Q1246" s="7"/>
      <c r="R1246" s="7"/>
    </row>
    <row r="1247" spans="1:18" x14ac:dyDescent="0.2">
      <c r="A1247" s="7"/>
      <c r="B1247" s="7"/>
      <c r="C1247" s="7"/>
      <c r="D1247" s="7"/>
      <c r="E1247" s="7"/>
      <c r="F1247" s="7"/>
      <c r="G1247" s="37"/>
      <c r="H1247" s="37"/>
      <c r="I1247" s="7"/>
      <c r="J1247" s="7"/>
      <c r="K1247" s="7"/>
      <c r="L1247" s="7"/>
      <c r="M1247" s="7"/>
      <c r="N1247" s="7"/>
      <c r="O1247" s="7"/>
      <c r="P1247" s="7"/>
      <c r="Q1247" s="7"/>
      <c r="R1247" s="7"/>
    </row>
    <row r="1248" spans="1:18" x14ac:dyDescent="0.2">
      <c r="A1248" s="7"/>
      <c r="B1248" s="7"/>
      <c r="C1248" s="7"/>
      <c r="D1248" s="7"/>
      <c r="E1248" s="7"/>
      <c r="F1248" s="7"/>
      <c r="G1248" s="106"/>
      <c r="H1248" s="37"/>
      <c r="I1248" s="7"/>
      <c r="J1248" s="7"/>
      <c r="K1248" s="7"/>
      <c r="L1248" s="7"/>
      <c r="M1248" s="7"/>
      <c r="N1248" s="7"/>
      <c r="O1248" s="7"/>
      <c r="P1248" s="7"/>
      <c r="Q1248" s="7"/>
      <c r="R1248" s="7"/>
    </row>
    <row r="1249" spans="1:18" x14ac:dyDescent="0.2">
      <c r="A1249" s="7"/>
      <c r="B1249" s="7"/>
      <c r="C1249" s="7"/>
      <c r="D1249" s="7"/>
      <c r="E1249" s="7"/>
      <c r="F1249" s="7"/>
      <c r="G1249" s="169"/>
      <c r="H1249" s="163"/>
      <c r="I1249" s="7"/>
      <c r="J1249" s="7"/>
      <c r="K1249" s="7"/>
      <c r="L1249" s="7"/>
      <c r="M1249" s="7"/>
      <c r="N1249" s="7"/>
      <c r="O1249" s="7"/>
      <c r="P1249" s="7"/>
      <c r="Q1249" s="7"/>
      <c r="R1249" s="7"/>
    </row>
    <row r="1250" spans="1:18" x14ac:dyDescent="0.2">
      <c r="A1250" s="7"/>
      <c r="B1250" s="7"/>
      <c r="C1250" s="7"/>
      <c r="D1250" s="7"/>
      <c r="E1250" s="7"/>
      <c r="F1250" s="7"/>
      <c r="G1250" s="37"/>
      <c r="H1250" s="37"/>
      <c r="I1250" s="7"/>
      <c r="J1250" s="7"/>
      <c r="K1250" s="7"/>
      <c r="L1250" s="7"/>
      <c r="M1250" s="7"/>
      <c r="N1250" s="7"/>
      <c r="O1250" s="7"/>
      <c r="P1250" s="7"/>
      <c r="Q1250" s="7"/>
      <c r="R1250" s="7"/>
    </row>
    <row r="1251" spans="1:18" x14ac:dyDescent="0.2">
      <c r="A1251" s="7"/>
      <c r="B1251" s="7"/>
      <c r="C1251" s="7"/>
      <c r="D1251" s="7"/>
      <c r="E1251" s="7"/>
      <c r="F1251" s="7"/>
      <c r="G1251" s="37"/>
      <c r="H1251" s="37"/>
      <c r="I1251" s="7"/>
      <c r="J1251" s="7"/>
      <c r="K1251" s="7"/>
      <c r="L1251" s="7"/>
      <c r="M1251" s="7"/>
      <c r="N1251" s="7"/>
      <c r="O1251" s="7"/>
      <c r="P1251" s="7"/>
      <c r="Q1251" s="7"/>
      <c r="R1251" s="7"/>
    </row>
    <row r="1252" spans="1:18" x14ac:dyDescent="0.2">
      <c r="A1252" s="7"/>
      <c r="B1252" s="7"/>
      <c r="C1252" s="7"/>
      <c r="D1252" s="7"/>
      <c r="E1252" s="7"/>
      <c r="F1252" s="7"/>
      <c r="G1252" s="37"/>
      <c r="H1252" s="37"/>
      <c r="I1252" s="7"/>
      <c r="J1252" s="7"/>
      <c r="K1252" s="7"/>
      <c r="L1252" s="7"/>
      <c r="M1252" s="7"/>
      <c r="N1252" s="7"/>
      <c r="O1252" s="7"/>
      <c r="P1252" s="7"/>
      <c r="Q1252" s="7"/>
      <c r="R1252" s="7"/>
    </row>
    <row r="1253" spans="1:18" x14ac:dyDescent="0.2">
      <c r="A1253" s="7"/>
      <c r="B1253" s="7"/>
      <c r="C1253" s="7"/>
      <c r="D1253" s="7"/>
      <c r="E1253" s="7"/>
      <c r="F1253" s="7"/>
      <c r="G1253" s="37"/>
      <c r="H1253" s="37"/>
      <c r="I1253" s="7"/>
      <c r="J1253" s="7"/>
      <c r="K1253" s="7"/>
      <c r="L1253" s="7"/>
      <c r="M1253" s="7"/>
      <c r="N1253" s="7"/>
      <c r="O1253" s="7"/>
      <c r="P1253" s="7"/>
      <c r="Q1253" s="7"/>
      <c r="R1253" s="7"/>
    </row>
    <row r="1254" spans="1:18" x14ac:dyDescent="0.2">
      <c r="A1254" s="7"/>
      <c r="B1254" s="7"/>
      <c r="C1254" s="7"/>
      <c r="D1254" s="7"/>
      <c r="E1254" s="7"/>
      <c r="F1254" s="7"/>
      <c r="G1254" s="37"/>
      <c r="H1254" s="37"/>
      <c r="I1254" s="7"/>
      <c r="J1254" s="7"/>
      <c r="K1254" s="7"/>
      <c r="L1254" s="7"/>
      <c r="M1254" s="7"/>
      <c r="N1254" s="7"/>
      <c r="O1254" s="7"/>
      <c r="P1254" s="7"/>
      <c r="Q1254" s="7"/>
      <c r="R1254" s="7"/>
    </row>
    <row r="1255" spans="1:18" x14ac:dyDescent="0.2">
      <c r="A1255" s="7"/>
      <c r="B1255" s="7"/>
      <c r="C1255" s="7"/>
      <c r="D1255" s="7"/>
      <c r="E1255" s="7"/>
      <c r="F1255" s="7"/>
      <c r="G1255" s="37"/>
      <c r="H1255" s="37"/>
      <c r="I1255" s="7"/>
      <c r="J1255" s="7"/>
      <c r="K1255" s="7"/>
      <c r="L1255" s="7"/>
      <c r="M1255" s="7"/>
      <c r="N1255" s="7"/>
      <c r="O1255" s="7"/>
      <c r="P1255" s="7"/>
      <c r="Q1255" s="7"/>
      <c r="R1255" s="7"/>
    </row>
    <row r="1256" spans="1:18" x14ac:dyDescent="0.2">
      <c r="A1256" s="7"/>
      <c r="B1256" s="7"/>
      <c r="C1256" s="7"/>
      <c r="D1256" s="7"/>
      <c r="E1256" s="7"/>
      <c r="F1256" s="7"/>
      <c r="G1256" s="37"/>
      <c r="H1256" s="37"/>
      <c r="I1256" s="7"/>
      <c r="J1256" s="7"/>
      <c r="K1256" s="7"/>
      <c r="L1256" s="7"/>
      <c r="M1256" s="7"/>
      <c r="N1256" s="7"/>
      <c r="O1256" s="7"/>
      <c r="P1256" s="7"/>
      <c r="Q1256" s="7"/>
      <c r="R1256" s="7"/>
    </row>
    <row r="1257" spans="1:18" x14ac:dyDescent="0.2">
      <c r="A1257" s="7"/>
      <c r="B1257" s="7"/>
      <c r="C1257" s="7"/>
      <c r="D1257" s="7"/>
      <c r="E1257" s="7"/>
      <c r="F1257" s="7"/>
      <c r="G1257" s="37"/>
      <c r="H1257" s="37"/>
      <c r="I1257" s="7"/>
      <c r="J1257" s="7"/>
      <c r="K1257" s="7"/>
      <c r="L1257" s="7"/>
      <c r="M1257" s="7"/>
      <c r="N1257" s="7"/>
      <c r="O1257" s="7"/>
      <c r="P1257" s="7"/>
      <c r="Q1257" s="7"/>
      <c r="R1257" s="7"/>
    </row>
    <row r="1258" spans="1:18" x14ac:dyDescent="0.2">
      <c r="A1258" s="7"/>
      <c r="B1258" s="7"/>
      <c r="C1258" s="7"/>
      <c r="D1258" s="7"/>
      <c r="E1258" s="7"/>
      <c r="F1258" s="7"/>
      <c r="G1258" s="37"/>
      <c r="H1258" s="37"/>
      <c r="I1258" s="7"/>
      <c r="J1258" s="7"/>
      <c r="K1258" s="7"/>
      <c r="L1258" s="7"/>
      <c r="M1258" s="7"/>
      <c r="N1258" s="7"/>
      <c r="O1258" s="7"/>
      <c r="P1258" s="7"/>
      <c r="Q1258" s="7"/>
      <c r="R1258" s="7"/>
    </row>
    <row r="1259" spans="1:18" x14ac:dyDescent="0.2">
      <c r="A1259" s="7"/>
      <c r="B1259" s="7"/>
      <c r="C1259" s="7"/>
      <c r="D1259" s="7"/>
      <c r="E1259" s="7"/>
      <c r="F1259" s="7"/>
      <c r="G1259" s="37"/>
      <c r="H1259" s="37"/>
      <c r="I1259" s="7"/>
      <c r="J1259" s="7"/>
      <c r="K1259" s="7"/>
      <c r="L1259" s="7"/>
      <c r="M1259" s="7"/>
      <c r="N1259" s="7"/>
      <c r="O1259" s="7"/>
      <c r="P1259" s="7"/>
      <c r="Q1259" s="7"/>
      <c r="R1259" s="7"/>
    </row>
    <row r="1260" spans="1:18" x14ac:dyDescent="0.2">
      <c r="A1260" s="7"/>
      <c r="B1260" s="7"/>
      <c r="C1260" s="7"/>
      <c r="D1260" s="7"/>
      <c r="E1260" s="7"/>
      <c r="F1260" s="7"/>
      <c r="G1260" s="37"/>
      <c r="H1260" s="37"/>
      <c r="I1260" s="7"/>
      <c r="J1260" s="7"/>
      <c r="K1260" s="7"/>
      <c r="L1260" s="7"/>
      <c r="M1260" s="7"/>
      <c r="N1260" s="7"/>
      <c r="O1260" s="7"/>
      <c r="P1260" s="7"/>
      <c r="Q1260" s="7"/>
      <c r="R1260" s="7"/>
    </row>
    <row r="1261" spans="1:18" x14ac:dyDescent="0.2">
      <c r="A1261" s="7"/>
      <c r="B1261" s="7"/>
      <c r="C1261" s="7"/>
      <c r="D1261" s="7"/>
      <c r="E1261" s="7"/>
      <c r="F1261" s="7"/>
      <c r="G1261" s="37"/>
      <c r="H1261" s="37"/>
      <c r="I1261" s="7"/>
      <c r="J1261" s="7"/>
      <c r="K1261" s="7"/>
      <c r="L1261" s="7"/>
      <c r="M1261" s="7"/>
      <c r="N1261" s="7"/>
      <c r="O1261" s="7"/>
      <c r="P1261" s="7"/>
      <c r="Q1261" s="7"/>
      <c r="R1261" s="7"/>
    </row>
    <row r="1262" spans="1:18" x14ac:dyDescent="0.2">
      <c r="A1262" s="7"/>
      <c r="B1262" s="7"/>
      <c r="C1262" s="7"/>
      <c r="D1262" s="7"/>
      <c r="E1262" s="7"/>
      <c r="F1262" s="7"/>
      <c r="G1262" s="37"/>
      <c r="H1262" s="37"/>
      <c r="I1262" s="7"/>
      <c r="J1262" s="7"/>
      <c r="K1262" s="7"/>
      <c r="L1262" s="7"/>
      <c r="M1262" s="7"/>
      <c r="N1262" s="7"/>
      <c r="O1262" s="7"/>
      <c r="P1262" s="7"/>
      <c r="Q1262" s="7"/>
      <c r="R1262" s="7"/>
    </row>
    <row r="1263" spans="1:18" x14ac:dyDescent="0.2">
      <c r="A1263" s="7"/>
      <c r="B1263" s="7"/>
      <c r="C1263" s="7"/>
      <c r="D1263" s="7"/>
      <c r="E1263" s="7"/>
      <c r="F1263" s="7"/>
      <c r="G1263" s="37"/>
      <c r="H1263" s="37"/>
      <c r="I1263" s="7"/>
      <c r="J1263" s="7"/>
      <c r="K1263" s="7"/>
      <c r="L1263" s="7"/>
      <c r="M1263" s="7"/>
      <c r="N1263" s="7"/>
      <c r="O1263" s="7"/>
      <c r="P1263" s="7"/>
      <c r="Q1263" s="7"/>
      <c r="R1263" s="7"/>
    </row>
    <row r="1264" spans="1:18" x14ac:dyDescent="0.2">
      <c r="A1264" s="7"/>
      <c r="B1264" s="7"/>
      <c r="C1264" s="7"/>
      <c r="D1264" s="7"/>
      <c r="E1264" s="7"/>
      <c r="F1264" s="7"/>
      <c r="G1264" s="37"/>
      <c r="H1264" s="37"/>
      <c r="I1264" s="7"/>
      <c r="J1264" s="7"/>
      <c r="K1264" s="7"/>
      <c r="L1264" s="7"/>
      <c r="M1264" s="7"/>
      <c r="N1264" s="7"/>
      <c r="O1264" s="7"/>
      <c r="P1264" s="7"/>
      <c r="Q1264" s="7"/>
      <c r="R1264" s="7"/>
    </row>
    <row r="1265" spans="1:18" x14ac:dyDescent="0.2">
      <c r="A1265" s="7"/>
      <c r="B1265" s="7"/>
      <c r="C1265" s="7"/>
      <c r="D1265" s="7"/>
      <c r="E1265" s="7"/>
      <c r="F1265" s="7"/>
      <c r="G1265" s="37"/>
      <c r="H1265" s="37"/>
      <c r="I1265" s="7"/>
      <c r="J1265" s="7"/>
      <c r="K1265" s="7"/>
      <c r="L1265" s="7"/>
      <c r="M1265" s="7"/>
      <c r="N1265" s="7"/>
      <c r="O1265" s="7"/>
      <c r="P1265" s="7"/>
      <c r="Q1265" s="7"/>
      <c r="R1265" s="7"/>
    </row>
    <row r="1266" spans="1:18" x14ac:dyDescent="0.2">
      <c r="A1266" s="7"/>
      <c r="B1266" s="7"/>
      <c r="C1266" s="7"/>
      <c r="D1266" s="7"/>
      <c r="E1266" s="7"/>
      <c r="F1266" s="7"/>
      <c r="G1266" s="37"/>
      <c r="H1266" s="37"/>
      <c r="I1266" s="7"/>
      <c r="J1266" s="7"/>
      <c r="K1266" s="7"/>
      <c r="L1266" s="7"/>
      <c r="M1266" s="7"/>
      <c r="N1266" s="7"/>
      <c r="O1266" s="7"/>
      <c r="P1266" s="7"/>
      <c r="Q1266" s="7"/>
      <c r="R1266" s="7"/>
    </row>
    <row r="1267" spans="1:18" x14ac:dyDescent="0.2">
      <c r="A1267" s="7"/>
      <c r="B1267" s="7"/>
      <c r="C1267" s="7"/>
      <c r="D1267" s="7"/>
      <c r="E1267" s="7"/>
      <c r="F1267" s="7"/>
      <c r="G1267" s="37"/>
      <c r="H1267" s="37"/>
      <c r="I1267" s="7"/>
      <c r="J1267" s="7"/>
      <c r="K1267" s="7"/>
      <c r="L1267" s="7"/>
      <c r="M1267" s="7"/>
      <c r="N1267" s="7"/>
      <c r="O1267" s="7"/>
      <c r="P1267" s="7"/>
      <c r="Q1267" s="7"/>
      <c r="R1267" s="7"/>
    </row>
    <row r="1268" spans="1:18" x14ac:dyDescent="0.2">
      <c r="A1268" s="7"/>
      <c r="B1268" s="7"/>
      <c r="C1268" s="7"/>
      <c r="D1268" s="7"/>
      <c r="E1268" s="7"/>
      <c r="F1268" s="7"/>
      <c r="G1268" s="37"/>
      <c r="H1268" s="37"/>
      <c r="I1268" s="7"/>
      <c r="J1268" s="7"/>
      <c r="K1268" s="7"/>
      <c r="L1268" s="7"/>
      <c r="M1268" s="7"/>
      <c r="N1268" s="7"/>
      <c r="O1268" s="7"/>
      <c r="P1268" s="7"/>
      <c r="Q1268" s="7"/>
      <c r="R1268" s="7"/>
    </row>
    <row r="1269" spans="1:18" x14ac:dyDescent="0.2">
      <c r="A1269" s="7"/>
      <c r="B1269" s="7"/>
      <c r="C1269" s="7"/>
      <c r="D1269" s="7"/>
      <c r="E1269" s="7"/>
      <c r="F1269" s="7"/>
      <c r="G1269" s="37"/>
      <c r="H1269" s="37"/>
      <c r="I1269" s="7"/>
      <c r="J1269" s="7"/>
      <c r="K1269" s="7"/>
      <c r="L1269" s="7"/>
      <c r="M1269" s="7"/>
      <c r="N1269" s="7"/>
      <c r="O1269" s="7"/>
      <c r="P1269" s="7"/>
      <c r="Q1269" s="7"/>
      <c r="R1269" s="7"/>
    </row>
    <row r="1270" spans="1:18" x14ac:dyDescent="0.2">
      <c r="A1270" s="7"/>
      <c r="B1270" s="7"/>
      <c r="C1270" s="7"/>
      <c r="D1270" s="7"/>
      <c r="E1270" s="7"/>
      <c r="F1270" s="7"/>
      <c r="G1270" s="37"/>
      <c r="H1270" s="37"/>
      <c r="I1270" s="7"/>
      <c r="J1270" s="7"/>
      <c r="K1270" s="7"/>
      <c r="L1270" s="7"/>
      <c r="M1270" s="7"/>
      <c r="N1270" s="7"/>
      <c r="O1270" s="7"/>
      <c r="P1270" s="7"/>
      <c r="Q1270" s="7"/>
      <c r="R1270" s="7"/>
    </row>
    <row r="1271" spans="1:18" x14ac:dyDescent="0.2">
      <c r="A1271" s="7"/>
      <c r="B1271" s="7"/>
      <c r="C1271" s="7"/>
      <c r="D1271" s="7"/>
      <c r="E1271" s="7"/>
      <c r="F1271" s="7"/>
      <c r="G1271" s="37"/>
      <c r="H1271" s="37"/>
      <c r="I1271" s="7"/>
      <c r="J1271" s="7"/>
      <c r="K1271" s="7"/>
      <c r="L1271" s="7"/>
      <c r="M1271" s="7"/>
      <c r="N1271" s="7"/>
      <c r="O1271" s="7"/>
      <c r="P1271" s="7"/>
      <c r="Q1271" s="7"/>
      <c r="R1271" s="7"/>
    </row>
    <row r="1272" spans="1:18" x14ac:dyDescent="0.2">
      <c r="A1272" s="7"/>
      <c r="B1272" s="7"/>
      <c r="C1272" s="7"/>
      <c r="D1272" s="7"/>
      <c r="E1272" s="7"/>
      <c r="F1272" s="7"/>
      <c r="G1272" s="37"/>
      <c r="H1272" s="37"/>
      <c r="I1272" s="7"/>
      <c r="J1272" s="7"/>
      <c r="K1272" s="7"/>
      <c r="L1272" s="7"/>
      <c r="M1272" s="7"/>
      <c r="N1272" s="7"/>
      <c r="O1272" s="7"/>
      <c r="P1272" s="7"/>
      <c r="Q1272" s="7"/>
      <c r="R1272" s="7"/>
    </row>
    <row r="1273" spans="1:18" x14ac:dyDescent="0.2">
      <c r="A1273" s="7"/>
      <c r="B1273" s="7"/>
      <c r="C1273" s="7"/>
      <c r="D1273" s="7"/>
      <c r="E1273" s="7"/>
      <c r="F1273" s="7"/>
      <c r="G1273" s="37"/>
      <c r="H1273" s="37"/>
      <c r="I1273" s="7"/>
      <c r="J1273" s="7"/>
      <c r="K1273" s="7"/>
      <c r="L1273" s="7"/>
      <c r="M1273" s="7"/>
      <c r="N1273" s="7"/>
      <c r="O1273" s="7"/>
      <c r="P1273" s="7"/>
      <c r="Q1273" s="7"/>
      <c r="R1273" s="7"/>
    </row>
    <row r="1274" spans="1:18" x14ac:dyDescent="0.2">
      <c r="A1274" s="7"/>
      <c r="B1274" s="7"/>
      <c r="C1274" s="7"/>
      <c r="D1274" s="7"/>
      <c r="E1274" s="7"/>
      <c r="F1274" s="7"/>
      <c r="G1274" s="37"/>
      <c r="H1274" s="37"/>
      <c r="I1274" s="7"/>
      <c r="J1274" s="7"/>
      <c r="K1274" s="7"/>
      <c r="L1274" s="7"/>
      <c r="M1274" s="7"/>
      <c r="N1274" s="7"/>
      <c r="O1274" s="7"/>
      <c r="P1274" s="7"/>
      <c r="Q1274" s="7"/>
      <c r="R1274" s="7"/>
    </row>
    <row r="1275" spans="1:18" x14ac:dyDescent="0.2">
      <c r="A1275" s="7"/>
      <c r="B1275" s="7"/>
      <c r="C1275" s="7"/>
      <c r="D1275" s="7"/>
      <c r="E1275" s="7"/>
      <c r="F1275" s="7"/>
      <c r="G1275" s="37"/>
      <c r="H1275" s="37"/>
      <c r="I1275" s="7"/>
      <c r="J1275" s="7"/>
      <c r="K1275" s="7"/>
      <c r="L1275" s="7"/>
      <c r="M1275" s="7"/>
      <c r="N1275" s="7"/>
      <c r="O1275" s="7"/>
      <c r="P1275" s="7"/>
      <c r="Q1275" s="7"/>
      <c r="R1275" s="7"/>
    </row>
    <row r="1276" spans="1:18" x14ac:dyDescent="0.2">
      <c r="A1276" s="7"/>
      <c r="B1276" s="7"/>
      <c r="C1276" s="7"/>
      <c r="D1276" s="7"/>
      <c r="E1276" s="7"/>
      <c r="F1276" s="7"/>
      <c r="G1276" s="37"/>
      <c r="H1276" s="37"/>
      <c r="I1276" s="7"/>
      <c r="J1276" s="7"/>
      <c r="K1276" s="7"/>
      <c r="L1276" s="7"/>
      <c r="M1276" s="7"/>
      <c r="N1276" s="7"/>
      <c r="O1276" s="7"/>
      <c r="P1276" s="7"/>
      <c r="Q1276" s="7"/>
      <c r="R1276" s="7"/>
    </row>
    <row r="1277" spans="1:18" x14ac:dyDescent="0.2">
      <c r="A1277" s="7"/>
      <c r="B1277" s="7"/>
      <c r="C1277" s="7"/>
      <c r="D1277" s="7"/>
      <c r="E1277" s="7"/>
      <c r="F1277" s="7"/>
      <c r="G1277" s="37"/>
      <c r="H1277" s="37"/>
      <c r="I1277" s="7"/>
      <c r="J1277" s="7"/>
      <c r="K1277" s="7"/>
      <c r="L1277" s="7"/>
      <c r="M1277" s="7"/>
      <c r="N1277" s="7"/>
      <c r="O1277" s="7"/>
      <c r="P1277" s="7"/>
      <c r="Q1277" s="7"/>
      <c r="R1277" s="7"/>
    </row>
    <row r="1278" spans="1:18" x14ac:dyDescent="0.2">
      <c r="A1278" s="7"/>
      <c r="B1278" s="7"/>
      <c r="C1278" s="7"/>
      <c r="D1278" s="7"/>
      <c r="E1278" s="7"/>
      <c r="F1278" s="7"/>
      <c r="G1278" s="37"/>
      <c r="H1278" s="37"/>
      <c r="I1278" s="7"/>
      <c r="J1278" s="7"/>
      <c r="K1278" s="7"/>
      <c r="L1278" s="7"/>
      <c r="M1278" s="7"/>
      <c r="N1278" s="7"/>
      <c r="O1278" s="7"/>
      <c r="P1278" s="7"/>
      <c r="Q1278" s="7"/>
      <c r="R1278" s="7"/>
    </row>
    <row r="1279" spans="1:18" x14ac:dyDescent="0.2">
      <c r="A1279" s="7"/>
      <c r="B1279" s="7"/>
      <c r="C1279" s="7"/>
      <c r="D1279" s="7"/>
      <c r="E1279" s="7"/>
      <c r="F1279" s="7"/>
      <c r="G1279" s="37"/>
      <c r="H1279" s="37"/>
      <c r="I1279" s="7"/>
      <c r="J1279" s="7"/>
      <c r="K1279" s="7"/>
      <c r="L1279" s="7"/>
      <c r="M1279" s="7"/>
      <c r="N1279" s="7"/>
      <c r="O1279" s="7"/>
      <c r="P1279" s="7"/>
      <c r="Q1279" s="7"/>
      <c r="R1279" s="7"/>
    </row>
    <row r="1280" spans="1:18" x14ac:dyDescent="0.2">
      <c r="A1280" s="7"/>
      <c r="B1280" s="7"/>
      <c r="C1280" s="7"/>
      <c r="D1280" s="7"/>
      <c r="E1280" s="7"/>
      <c r="F1280" s="7"/>
      <c r="G1280" s="37"/>
      <c r="H1280" s="37"/>
      <c r="I1280" s="7"/>
      <c r="J1280" s="7"/>
      <c r="K1280" s="7"/>
      <c r="L1280" s="7"/>
      <c r="M1280" s="7"/>
      <c r="N1280" s="7"/>
      <c r="O1280" s="7"/>
      <c r="P1280" s="7"/>
      <c r="Q1280" s="7"/>
      <c r="R1280" s="7"/>
    </row>
    <row r="1281" spans="1:18" x14ac:dyDescent="0.2">
      <c r="A1281" s="7"/>
      <c r="B1281" s="7"/>
      <c r="C1281" s="7"/>
      <c r="D1281" s="7"/>
      <c r="E1281" s="7"/>
      <c r="F1281" s="7"/>
      <c r="H1281" s="37"/>
      <c r="I1281" s="7"/>
      <c r="J1281" s="7"/>
      <c r="K1281" s="7"/>
      <c r="L1281" s="7"/>
      <c r="M1281" s="7"/>
      <c r="N1281" s="7"/>
      <c r="O1281" s="7"/>
      <c r="P1281" s="7"/>
      <c r="Q1281" s="7"/>
      <c r="R1281" s="7"/>
    </row>
    <row r="1282" spans="1:18" x14ac:dyDescent="0.2">
      <c r="A1282" s="7"/>
      <c r="B1282" s="7"/>
      <c r="C1282" s="7"/>
      <c r="D1282" s="7"/>
      <c r="E1282" s="7"/>
      <c r="F1282" s="7"/>
      <c r="H1282" s="37"/>
      <c r="I1282" s="7"/>
      <c r="J1282" s="7"/>
      <c r="K1282" s="7"/>
      <c r="L1282" s="7"/>
      <c r="M1282" s="7"/>
      <c r="N1282" s="7"/>
      <c r="O1282" s="7"/>
      <c r="P1282" s="7"/>
      <c r="Q1282" s="7"/>
      <c r="R1282" s="7"/>
    </row>
    <row r="1283" spans="1:18" x14ac:dyDescent="0.2">
      <c r="A1283" s="7"/>
      <c r="B1283" s="7"/>
      <c r="C1283" s="7"/>
      <c r="D1283" s="7"/>
      <c r="E1283" s="7"/>
      <c r="F1283" s="7"/>
      <c r="G1283" s="37"/>
      <c r="H1283" s="37"/>
      <c r="I1283" s="7"/>
      <c r="J1283" s="7"/>
      <c r="K1283" s="7"/>
      <c r="L1283" s="7"/>
      <c r="M1283" s="7"/>
      <c r="N1283" s="7"/>
      <c r="O1283" s="7"/>
      <c r="P1283" s="7"/>
      <c r="Q1283" s="7"/>
      <c r="R1283" s="7"/>
    </row>
    <row r="1284" spans="1:18" x14ac:dyDescent="0.2">
      <c r="A1284" s="7"/>
      <c r="B1284" s="7"/>
      <c r="C1284" s="7"/>
      <c r="D1284" s="7"/>
      <c r="E1284" s="7"/>
      <c r="F1284" s="7"/>
      <c r="G1284" s="37"/>
      <c r="H1284" s="37"/>
      <c r="I1284" s="7"/>
      <c r="J1284" s="7"/>
      <c r="K1284" s="7"/>
      <c r="L1284" s="7"/>
      <c r="M1284" s="7"/>
      <c r="N1284" s="7"/>
      <c r="O1284" s="7"/>
      <c r="P1284" s="7"/>
      <c r="Q1284" s="7"/>
      <c r="R1284" s="7"/>
    </row>
    <row r="1285" spans="1:18" x14ac:dyDescent="0.2">
      <c r="A1285" s="7"/>
      <c r="B1285" s="7"/>
      <c r="C1285" s="7"/>
      <c r="D1285" s="7"/>
      <c r="E1285" s="7"/>
      <c r="F1285" s="7"/>
      <c r="G1285" s="37"/>
      <c r="H1285" s="37"/>
      <c r="I1285" s="7"/>
      <c r="J1285" s="7"/>
      <c r="K1285" s="7"/>
      <c r="L1285" s="7"/>
      <c r="M1285" s="7"/>
      <c r="N1285" s="7"/>
      <c r="O1285" s="7"/>
      <c r="P1285" s="7"/>
      <c r="Q1285" s="7"/>
      <c r="R1285" s="7"/>
    </row>
    <row r="1286" spans="1:18" x14ac:dyDescent="0.2">
      <c r="A1286" s="7"/>
      <c r="B1286" s="7"/>
      <c r="C1286" s="7"/>
      <c r="D1286" s="7"/>
      <c r="E1286" s="7"/>
      <c r="F1286" s="7"/>
      <c r="G1286" s="37"/>
      <c r="H1286" s="37"/>
      <c r="I1286" s="7"/>
      <c r="J1286" s="7"/>
      <c r="K1286" s="7"/>
      <c r="L1286" s="7"/>
      <c r="M1286" s="7"/>
      <c r="N1286" s="7"/>
      <c r="O1286" s="7"/>
      <c r="P1286" s="7"/>
      <c r="Q1286" s="7"/>
      <c r="R1286" s="7"/>
    </row>
    <row r="1287" spans="1:18" x14ac:dyDescent="0.2">
      <c r="A1287" s="7"/>
      <c r="B1287" s="7"/>
      <c r="C1287" s="7"/>
      <c r="D1287" s="7"/>
      <c r="E1287" s="7"/>
      <c r="F1287" s="7"/>
      <c r="G1287" s="37"/>
      <c r="H1287" s="37"/>
      <c r="I1287" s="7"/>
      <c r="J1287" s="7"/>
      <c r="K1287" s="7"/>
      <c r="L1287" s="7"/>
      <c r="M1287" s="7"/>
      <c r="N1287" s="7"/>
      <c r="O1287" s="7"/>
      <c r="P1287" s="7"/>
      <c r="Q1287" s="7"/>
      <c r="R1287" s="7"/>
    </row>
    <row r="1288" spans="1:18" x14ac:dyDescent="0.2">
      <c r="A1288" s="7"/>
      <c r="B1288" s="7"/>
      <c r="C1288" s="7"/>
      <c r="D1288" s="7"/>
      <c r="E1288" s="7"/>
      <c r="F1288" s="7"/>
      <c r="G1288" s="37"/>
      <c r="H1288" s="37"/>
      <c r="I1288" s="7"/>
      <c r="J1288" s="7"/>
      <c r="K1288" s="7"/>
      <c r="L1288" s="7"/>
      <c r="M1288" s="7"/>
      <c r="N1288" s="7"/>
      <c r="O1288" s="7"/>
      <c r="P1288" s="7"/>
      <c r="Q1288" s="7"/>
      <c r="R1288" s="7"/>
    </row>
    <row r="1289" spans="1:18" x14ac:dyDescent="0.2">
      <c r="A1289" s="7"/>
      <c r="B1289" s="7"/>
      <c r="C1289" s="7"/>
      <c r="D1289" s="7"/>
      <c r="E1289" s="7"/>
      <c r="F1289" s="7"/>
      <c r="G1289" s="37"/>
      <c r="H1289" s="37"/>
      <c r="I1289" s="7"/>
      <c r="J1289" s="7"/>
      <c r="K1289" s="7"/>
      <c r="L1289" s="7"/>
      <c r="M1289" s="7"/>
      <c r="N1289" s="7"/>
      <c r="O1289" s="7"/>
      <c r="P1289" s="7"/>
      <c r="Q1289" s="7"/>
      <c r="R1289" s="7"/>
    </row>
    <row r="1290" spans="1:18" x14ac:dyDescent="0.2">
      <c r="A1290" s="7"/>
      <c r="B1290" s="7"/>
      <c r="C1290" s="7"/>
      <c r="D1290" s="7"/>
      <c r="E1290" s="7"/>
      <c r="F1290" s="7"/>
      <c r="G1290" s="37"/>
      <c r="H1290" s="37"/>
      <c r="I1290" s="7"/>
      <c r="J1290" s="7"/>
      <c r="K1290" s="7"/>
      <c r="L1290" s="7"/>
      <c r="M1290" s="7"/>
      <c r="N1290" s="7"/>
      <c r="O1290" s="7"/>
      <c r="P1290" s="7"/>
      <c r="Q1290" s="7"/>
      <c r="R1290" s="7"/>
    </row>
    <row r="1291" spans="1:18" x14ac:dyDescent="0.2">
      <c r="A1291" s="7"/>
      <c r="B1291" s="7"/>
      <c r="C1291" s="7"/>
      <c r="D1291" s="7"/>
      <c r="E1291" s="7"/>
      <c r="F1291" s="7"/>
      <c r="H1291" s="37"/>
      <c r="I1291" s="7"/>
      <c r="J1291" s="7"/>
      <c r="K1291" s="7"/>
      <c r="L1291" s="7"/>
      <c r="M1291" s="7"/>
      <c r="N1291" s="7"/>
      <c r="O1291" s="7"/>
      <c r="P1291" s="7"/>
      <c r="Q1291" s="7"/>
      <c r="R1291" s="7"/>
    </row>
    <row r="1292" spans="1:18" x14ac:dyDescent="0.2">
      <c r="A1292" s="7"/>
      <c r="B1292" s="7"/>
      <c r="C1292" s="7"/>
      <c r="D1292" s="7"/>
      <c r="E1292" s="7"/>
      <c r="F1292" s="7"/>
      <c r="H1292" s="37"/>
      <c r="I1292" s="7"/>
      <c r="J1292" s="7"/>
      <c r="K1292" s="7"/>
      <c r="L1292" s="7"/>
      <c r="M1292" s="7"/>
      <c r="N1292" s="7"/>
      <c r="O1292" s="7"/>
      <c r="P1292" s="7"/>
      <c r="Q1292" s="7"/>
      <c r="R1292" s="7"/>
    </row>
    <row r="1293" spans="1:18" x14ac:dyDescent="0.2">
      <c r="A1293" s="7"/>
      <c r="B1293" s="7"/>
      <c r="C1293" s="7"/>
      <c r="D1293" s="7"/>
      <c r="E1293" s="7"/>
      <c r="F1293" s="7"/>
      <c r="G1293" s="37"/>
      <c r="H1293" s="37"/>
      <c r="I1293" s="7"/>
      <c r="J1293" s="7"/>
      <c r="K1293" s="7"/>
      <c r="L1293" s="7"/>
      <c r="M1293" s="7"/>
      <c r="N1293" s="7"/>
      <c r="O1293" s="7"/>
      <c r="P1293" s="7"/>
      <c r="Q1293" s="7"/>
      <c r="R1293" s="7"/>
    </row>
    <row r="1294" spans="1:18" x14ac:dyDescent="0.2">
      <c r="A1294" s="7"/>
      <c r="B1294" s="7"/>
      <c r="C1294" s="7"/>
      <c r="D1294" s="7"/>
      <c r="E1294" s="7"/>
      <c r="F1294" s="7"/>
      <c r="G1294" s="37"/>
      <c r="H1294" s="37"/>
      <c r="I1294" s="7"/>
      <c r="J1294" s="7"/>
      <c r="K1294" s="7"/>
      <c r="L1294" s="7"/>
      <c r="M1294" s="7"/>
      <c r="N1294" s="7"/>
      <c r="O1294" s="7"/>
      <c r="P1294" s="7"/>
      <c r="Q1294" s="7"/>
      <c r="R1294" s="7"/>
    </row>
    <row r="1295" spans="1:18" x14ac:dyDescent="0.2">
      <c r="A1295" s="7"/>
      <c r="B1295" s="7"/>
      <c r="C1295" s="7"/>
      <c r="D1295" s="7"/>
      <c r="E1295" s="7"/>
      <c r="F1295" s="7"/>
      <c r="G1295" s="37"/>
      <c r="H1295" s="37"/>
      <c r="I1295" s="7"/>
      <c r="J1295" s="7"/>
      <c r="K1295" s="7"/>
      <c r="L1295" s="7"/>
      <c r="M1295" s="7"/>
      <c r="N1295" s="7"/>
      <c r="O1295" s="7"/>
      <c r="P1295" s="7"/>
      <c r="Q1295" s="7"/>
      <c r="R1295" s="7"/>
    </row>
    <row r="1296" spans="1:18" x14ac:dyDescent="0.2">
      <c r="A1296" s="7"/>
      <c r="B1296" s="7"/>
      <c r="C1296" s="7"/>
      <c r="D1296" s="7"/>
      <c r="E1296" s="7"/>
      <c r="F1296" s="7"/>
      <c r="G1296" s="37"/>
      <c r="H1296" s="37"/>
      <c r="I1296" s="7"/>
      <c r="J1296" s="7"/>
      <c r="K1296" s="7"/>
      <c r="L1296" s="7"/>
      <c r="M1296" s="7"/>
      <c r="N1296" s="7"/>
      <c r="O1296" s="7"/>
      <c r="P1296" s="7"/>
      <c r="Q1296" s="7"/>
      <c r="R1296" s="7"/>
    </row>
    <row r="1297" spans="1:18" x14ac:dyDescent="0.2">
      <c r="A1297" s="7"/>
      <c r="B1297" s="7"/>
      <c r="C1297" s="7"/>
      <c r="D1297" s="7"/>
      <c r="E1297" s="7"/>
      <c r="F1297" s="7"/>
      <c r="G1297" s="37"/>
      <c r="H1297" s="37"/>
      <c r="I1297" s="7"/>
      <c r="J1297" s="7"/>
      <c r="K1297" s="7"/>
      <c r="L1297" s="7"/>
      <c r="M1297" s="7"/>
      <c r="N1297" s="7"/>
      <c r="O1297" s="7"/>
      <c r="P1297" s="7"/>
      <c r="Q1297" s="7"/>
      <c r="R1297" s="7"/>
    </row>
    <row r="1298" spans="1:18" x14ac:dyDescent="0.2">
      <c r="A1298" s="7"/>
      <c r="B1298" s="7"/>
      <c r="C1298" s="7"/>
      <c r="D1298" s="7"/>
      <c r="E1298" s="7"/>
      <c r="F1298" s="7"/>
      <c r="G1298" s="163"/>
      <c r="H1298" s="163"/>
      <c r="I1298" s="7"/>
      <c r="J1298" s="7"/>
      <c r="K1298" s="7"/>
      <c r="L1298" s="7"/>
      <c r="M1298" s="7"/>
      <c r="N1298" s="7"/>
      <c r="O1298" s="7"/>
      <c r="P1298" s="7"/>
      <c r="Q1298" s="7"/>
      <c r="R1298" s="7"/>
    </row>
    <row r="1299" spans="1:18" x14ac:dyDescent="0.2">
      <c r="A1299" s="7"/>
      <c r="B1299" s="7"/>
      <c r="C1299" s="7"/>
      <c r="D1299" s="7"/>
      <c r="E1299" s="7"/>
      <c r="F1299" s="7"/>
      <c r="G1299" s="37"/>
      <c r="H1299" s="37"/>
      <c r="I1299" s="7"/>
      <c r="J1299" s="7"/>
      <c r="K1299" s="7"/>
      <c r="L1299" s="7"/>
      <c r="M1299" s="7"/>
      <c r="N1299" s="7"/>
      <c r="O1299" s="7"/>
      <c r="P1299" s="7"/>
      <c r="Q1299" s="7"/>
      <c r="R1299" s="7"/>
    </row>
    <row r="1300" spans="1:18" x14ac:dyDescent="0.2">
      <c r="A1300" s="7"/>
      <c r="B1300" s="7"/>
      <c r="C1300" s="7"/>
      <c r="D1300" s="7"/>
      <c r="E1300" s="7"/>
      <c r="F1300" s="7"/>
      <c r="G1300" s="37"/>
      <c r="H1300" s="37"/>
      <c r="I1300" s="7"/>
      <c r="J1300" s="7"/>
      <c r="K1300" s="7"/>
      <c r="L1300" s="7"/>
      <c r="M1300" s="7"/>
      <c r="N1300" s="7"/>
      <c r="O1300" s="7"/>
      <c r="P1300" s="7"/>
      <c r="Q1300" s="7"/>
      <c r="R1300" s="7"/>
    </row>
    <row r="1301" spans="1:18" x14ac:dyDescent="0.2">
      <c r="A1301" s="7"/>
      <c r="B1301" s="7"/>
      <c r="C1301" s="7"/>
      <c r="D1301" s="7"/>
      <c r="E1301" s="7"/>
      <c r="F1301" s="7"/>
      <c r="G1301" s="37"/>
      <c r="H1301" s="37"/>
      <c r="I1301" s="7"/>
      <c r="J1301" s="7"/>
      <c r="K1301" s="7"/>
      <c r="L1301" s="7"/>
      <c r="M1301" s="7"/>
      <c r="N1301" s="7"/>
      <c r="O1301" s="7"/>
      <c r="P1301" s="7"/>
      <c r="Q1301" s="7"/>
      <c r="R1301" s="7"/>
    </row>
    <row r="1302" spans="1:18" x14ac:dyDescent="0.2">
      <c r="A1302" s="7"/>
      <c r="B1302" s="7"/>
      <c r="C1302" s="7"/>
      <c r="D1302" s="7"/>
      <c r="E1302" s="7"/>
      <c r="F1302" s="7"/>
      <c r="G1302" s="37"/>
      <c r="H1302" s="37"/>
      <c r="I1302" s="7"/>
      <c r="J1302" s="7"/>
      <c r="K1302" s="7"/>
      <c r="L1302" s="7"/>
      <c r="M1302" s="7"/>
      <c r="N1302" s="7"/>
      <c r="O1302" s="7"/>
      <c r="P1302" s="7"/>
      <c r="Q1302" s="7"/>
      <c r="R1302" s="7"/>
    </row>
    <row r="1303" spans="1:18" x14ac:dyDescent="0.2">
      <c r="A1303" s="7"/>
      <c r="B1303" s="7"/>
      <c r="C1303" s="7"/>
      <c r="D1303" s="7"/>
      <c r="E1303" s="7"/>
      <c r="F1303" s="7"/>
      <c r="G1303" s="37"/>
      <c r="H1303" s="37"/>
      <c r="I1303" s="7"/>
      <c r="J1303" s="7"/>
      <c r="K1303" s="7"/>
      <c r="L1303" s="7"/>
      <c r="M1303" s="7"/>
      <c r="N1303" s="7"/>
      <c r="O1303" s="7"/>
      <c r="P1303" s="7"/>
      <c r="Q1303" s="7"/>
      <c r="R1303" s="7"/>
    </row>
    <row r="1304" spans="1:18" x14ac:dyDescent="0.2">
      <c r="A1304" s="7"/>
      <c r="B1304" s="7"/>
      <c r="C1304" s="7"/>
      <c r="D1304" s="7"/>
      <c r="E1304" s="7"/>
      <c r="F1304" s="7"/>
      <c r="G1304" s="37"/>
      <c r="H1304" s="37"/>
      <c r="I1304" s="7"/>
      <c r="J1304" s="7"/>
      <c r="K1304" s="7"/>
      <c r="L1304" s="7"/>
      <c r="M1304" s="7"/>
      <c r="N1304" s="7"/>
      <c r="O1304" s="7"/>
      <c r="P1304" s="7"/>
      <c r="Q1304" s="7"/>
      <c r="R1304" s="7"/>
    </row>
    <row r="1305" spans="1:18" x14ac:dyDescent="0.2">
      <c r="A1305" s="7"/>
      <c r="B1305" s="7"/>
      <c r="C1305" s="7"/>
      <c r="D1305" s="7"/>
      <c r="E1305" s="7"/>
      <c r="F1305" s="7"/>
      <c r="G1305" s="37"/>
      <c r="H1305" s="37"/>
      <c r="I1305" s="7"/>
      <c r="J1305" s="7"/>
      <c r="K1305" s="7"/>
      <c r="L1305" s="7"/>
      <c r="M1305" s="7"/>
      <c r="N1305" s="7"/>
      <c r="O1305" s="7"/>
      <c r="P1305" s="7"/>
      <c r="Q1305" s="7"/>
      <c r="R1305" s="7"/>
    </row>
    <row r="1306" spans="1:18" x14ac:dyDescent="0.2">
      <c r="A1306" s="7"/>
      <c r="B1306" s="7"/>
      <c r="C1306" s="7"/>
      <c r="D1306" s="7"/>
      <c r="E1306" s="7"/>
      <c r="F1306" s="7"/>
      <c r="G1306" s="37"/>
      <c r="H1306" s="37"/>
      <c r="I1306" s="7"/>
      <c r="J1306" s="7"/>
      <c r="K1306" s="7"/>
      <c r="L1306" s="7"/>
      <c r="M1306" s="7"/>
      <c r="N1306" s="7"/>
      <c r="O1306" s="7"/>
      <c r="P1306" s="7"/>
      <c r="Q1306" s="7"/>
      <c r="R1306" s="7"/>
    </row>
    <row r="1307" spans="1:18" x14ac:dyDescent="0.2">
      <c r="A1307" s="7"/>
      <c r="B1307" s="7"/>
      <c r="C1307" s="7"/>
      <c r="D1307" s="7"/>
      <c r="E1307" s="7"/>
      <c r="F1307" s="7"/>
      <c r="G1307" s="37"/>
      <c r="H1307" s="37"/>
      <c r="I1307" s="7"/>
      <c r="J1307" s="7"/>
      <c r="K1307" s="7"/>
      <c r="L1307" s="7"/>
      <c r="M1307" s="7"/>
      <c r="N1307" s="7"/>
      <c r="O1307" s="7"/>
      <c r="P1307" s="7"/>
      <c r="Q1307" s="7"/>
      <c r="R1307" s="7"/>
    </row>
    <row r="1308" spans="1:18" x14ac:dyDescent="0.2">
      <c r="A1308" s="7"/>
      <c r="B1308" s="7"/>
      <c r="C1308" s="7"/>
      <c r="D1308" s="7"/>
      <c r="E1308" s="7"/>
      <c r="F1308" s="7"/>
      <c r="G1308" s="37"/>
      <c r="H1308" s="37"/>
      <c r="I1308" s="7"/>
      <c r="J1308" s="7"/>
      <c r="K1308" s="7"/>
      <c r="L1308" s="7"/>
      <c r="M1308" s="7"/>
      <c r="N1308" s="7"/>
      <c r="O1308" s="7"/>
      <c r="P1308" s="7"/>
      <c r="Q1308" s="7"/>
      <c r="R1308" s="7"/>
    </row>
    <row r="1309" spans="1:18" x14ac:dyDescent="0.2">
      <c r="A1309" s="7"/>
      <c r="B1309" s="7"/>
      <c r="C1309" s="7"/>
      <c r="D1309" s="7"/>
      <c r="E1309" s="7"/>
      <c r="F1309" s="7"/>
      <c r="H1309" s="37"/>
      <c r="I1309" s="7"/>
      <c r="J1309" s="7"/>
      <c r="K1309" s="7"/>
      <c r="L1309" s="7"/>
      <c r="M1309" s="7"/>
      <c r="N1309" s="7"/>
      <c r="O1309" s="7"/>
      <c r="P1309" s="7"/>
      <c r="Q1309" s="7"/>
      <c r="R1309" s="7"/>
    </row>
    <row r="1310" spans="1:18" x14ac:dyDescent="0.2">
      <c r="A1310" s="7"/>
      <c r="B1310" s="7"/>
      <c r="C1310" s="7"/>
      <c r="D1310" s="7"/>
      <c r="E1310" s="7"/>
      <c r="F1310" s="7"/>
      <c r="G1310" s="37"/>
      <c r="H1310" s="37"/>
      <c r="I1310" s="7"/>
      <c r="J1310" s="7"/>
      <c r="K1310" s="7"/>
      <c r="L1310" s="7"/>
      <c r="M1310" s="7"/>
      <c r="N1310" s="7"/>
      <c r="O1310" s="7"/>
      <c r="P1310" s="7"/>
      <c r="Q1310" s="7"/>
      <c r="R1310" s="7"/>
    </row>
    <row r="1311" spans="1:18" x14ac:dyDescent="0.2">
      <c r="A1311" s="7"/>
      <c r="B1311" s="7"/>
      <c r="C1311" s="7"/>
      <c r="D1311" s="7"/>
      <c r="E1311" s="7"/>
      <c r="F1311" s="7"/>
      <c r="G1311" s="37"/>
      <c r="H1311" s="37"/>
      <c r="I1311" s="7"/>
      <c r="J1311" s="7"/>
      <c r="K1311" s="7"/>
      <c r="L1311" s="7"/>
      <c r="M1311" s="7"/>
      <c r="N1311" s="7"/>
      <c r="O1311" s="7"/>
      <c r="P1311" s="7"/>
      <c r="Q1311" s="7"/>
      <c r="R1311" s="7"/>
    </row>
    <row r="1312" spans="1:18" x14ac:dyDescent="0.2">
      <c r="A1312" s="7"/>
      <c r="B1312" s="7"/>
      <c r="C1312" s="7"/>
      <c r="D1312" s="7"/>
      <c r="E1312" s="7"/>
      <c r="F1312" s="7"/>
      <c r="G1312" s="37"/>
      <c r="H1312" s="37"/>
      <c r="I1312" s="7"/>
      <c r="J1312" s="7"/>
      <c r="K1312" s="7"/>
      <c r="L1312" s="7"/>
      <c r="M1312" s="7"/>
      <c r="N1312" s="7"/>
      <c r="O1312" s="7"/>
      <c r="P1312" s="7"/>
      <c r="Q1312" s="7"/>
      <c r="R1312" s="7"/>
    </row>
    <row r="1313" spans="1:18" x14ac:dyDescent="0.2">
      <c r="A1313" s="7"/>
      <c r="B1313" s="7"/>
      <c r="C1313" s="7"/>
      <c r="D1313" s="7"/>
      <c r="E1313" s="7"/>
      <c r="F1313" s="7"/>
      <c r="G1313" s="37"/>
      <c r="H1313" s="37"/>
      <c r="I1313" s="7"/>
      <c r="J1313" s="7"/>
      <c r="K1313" s="7"/>
      <c r="L1313" s="7"/>
      <c r="M1313" s="7"/>
      <c r="N1313" s="7"/>
      <c r="O1313" s="7"/>
      <c r="P1313" s="7"/>
      <c r="Q1313" s="7"/>
      <c r="R1313" s="7"/>
    </row>
    <row r="1314" spans="1:18" x14ac:dyDescent="0.2">
      <c r="A1314" s="7"/>
      <c r="B1314" s="7"/>
      <c r="C1314" s="7"/>
      <c r="D1314" s="7"/>
      <c r="E1314" s="7"/>
      <c r="F1314" s="7"/>
      <c r="G1314" s="37"/>
      <c r="H1314" s="37"/>
      <c r="I1314" s="7"/>
      <c r="J1314" s="7"/>
      <c r="K1314" s="7"/>
      <c r="L1314" s="7"/>
      <c r="M1314" s="7"/>
      <c r="N1314" s="7"/>
      <c r="O1314" s="7"/>
      <c r="P1314" s="7"/>
      <c r="Q1314" s="7"/>
      <c r="R1314" s="7"/>
    </row>
    <row r="1315" spans="1:18" x14ac:dyDescent="0.2">
      <c r="A1315" s="7"/>
      <c r="B1315" s="7"/>
      <c r="C1315" s="7"/>
      <c r="D1315" s="7"/>
      <c r="E1315" s="7"/>
      <c r="F1315" s="7"/>
      <c r="G1315" s="37"/>
      <c r="H1315" s="37"/>
      <c r="I1315" s="7"/>
      <c r="J1315" s="7"/>
      <c r="K1315" s="7"/>
      <c r="L1315" s="7"/>
      <c r="M1315" s="7"/>
      <c r="N1315" s="7"/>
      <c r="O1315" s="7"/>
      <c r="P1315" s="7"/>
      <c r="Q1315" s="7"/>
      <c r="R1315" s="7"/>
    </row>
    <row r="1316" spans="1:18" x14ac:dyDescent="0.2">
      <c r="A1316" s="7"/>
      <c r="B1316" s="7"/>
      <c r="C1316" s="7"/>
      <c r="D1316" s="7"/>
      <c r="E1316" s="7"/>
      <c r="F1316" s="7"/>
      <c r="G1316" s="37"/>
      <c r="H1316" s="37"/>
      <c r="I1316" s="7"/>
      <c r="J1316" s="7"/>
      <c r="K1316" s="7"/>
      <c r="L1316" s="7"/>
      <c r="M1316" s="7"/>
      <c r="N1316" s="7"/>
      <c r="O1316" s="7"/>
      <c r="P1316" s="7"/>
      <c r="Q1316" s="7"/>
      <c r="R1316" s="7"/>
    </row>
    <row r="1317" spans="1:18" x14ac:dyDescent="0.2">
      <c r="A1317" s="7"/>
      <c r="B1317" s="7"/>
      <c r="C1317" s="7"/>
      <c r="D1317" s="7"/>
      <c r="E1317" s="7"/>
      <c r="F1317" s="7"/>
      <c r="G1317" s="37"/>
      <c r="H1317" s="37"/>
      <c r="I1317" s="7"/>
      <c r="J1317" s="7"/>
      <c r="K1317" s="7"/>
      <c r="L1317" s="7"/>
      <c r="M1317" s="7"/>
      <c r="N1317" s="7"/>
      <c r="O1317" s="7"/>
      <c r="P1317" s="7"/>
      <c r="Q1317" s="7"/>
      <c r="R1317" s="7"/>
    </row>
    <row r="1318" spans="1:18" x14ac:dyDescent="0.2">
      <c r="A1318" s="7"/>
      <c r="B1318" s="7"/>
      <c r="C1318" s="7"/>
      <c r="D1318" s="7"/>
      <c r="E1318" s="7"/>
      <c r="F1318" s="7"/>
      <c r="G1318" s="37"/>
      <c r="H1318" s="37"/>
      <c r="I1318" s="7"/>
      <c r="J1318" s="7"/>
      <c r="K1318" s="7"/>
      <c r="L1318" s="7"/>
      <c r="M1318" s="7"/>
      <c r="N1318" s="7"/>
      <c r="O1318" s="7"/>
      <c r="P1318" s="7"/>
      <c r="Q1318" s="7"/>
      <c r="R1318" s="7"/>
    </row>
    <row r="1319" spans="1:18" x14ac:dyDescent="0.2">
      <c r="A1319" s="7"/>
      <c r="B1319" s="7"/>
      <c r="C1319" s="7"/>
      <c r="D1319" s="7"/>
      <c r="E1319" s="7"/>
      <c r="F1319" s="7"/>
      <c r="G1319" s="37"/>
      <c r="H1319" s="37"/>
      <c r="I1319" s="7"/>
      <c r="J1319" s="7"/>
      <c r="K1319" s="7"/>
      <c r="L1319" s="7"/>
      <c r="M1319" s="7"/>
      <c r="N1319" s="7"/>
      <c r="O1319" s="7"/>
      <c r="P1319" s="7"/>
      <c r="Q1319" s="7"/>
      <c r="R1319" s="7"/>
    </row>
    <row r="1320" spans="1:18" x14ac:dyDescent="0.2">
      <c r="A1320" s="7"/>
      <c r="B1320" s="7"/>
      <c r="C1320" s="7"/>
      <c r="D1320" s="7"/>
      <c r="E1320" s="7"/>
      <c r="F1320" s="7"/>
      <c r="G1320" s="37"/>
      <c r="H1320" s="37"/>
      <c r="I1320" s="7"/>
      <c r="J1320" s="7"/>
      <c r="K1320" s="7"/>
      <c r="L1320" s="7"/>
      <c r="M1320" s="7"/>
      <c r="N1320" s="7"/>
      <c r="O1320" s="7"/>
      <c r="P1320" s="7"/>
      <c r="Q1320" s="7"/>
      <c r="R1320" s="7"/>
    </row>
    <row r="1321" spans="1:18" x14ac:dyDescent="0.2">
      <c r="A1321" s="7"/>
      <c r="B1321" s="7"/>
      <c r="C1321" s="7"/>
      <c r="D1321" s="7"/>
      <c r="E1321" s="7"/>
      <c r="F1321" s="7"/>
      <c r="G1321" s="37"/>
      <c r="H1321" s="37"/>
      <c r="I1321" s="7"/>
      <c r="J1321" s="7"/>
      <c r="K1321" s="7"/>
      <c r="L1321" s="7"/>
      <c r="M1321" s="7"/>
      <c r="N1321" s="7"/>
      <c r="O1321" s="7"/>
      <c r="P1321" s="7"/>
      <c r="Q1321" s="7"/>
      <c r="R1321" s="7"/>
    </row>
    <row r="1322" spans="1:18" x14ac:dyDescent="0.2">
      <c r="A1322" s="7"/>
      <c r="B1322" s="7"/>
      <c r="C1322" s="7"/>
      <c r="D1322" s="7"/>
      <c r="E1322" s="7"/>
      <c r="F1322" s="7"/>
      <c r="G1322" s="37"/>
      <c r="H1322" s="37"/>
      <c r="I1322" s="7"/>
      <c r="J1322" s="7"/>
      <c r="K1322" s="7"/>
      <c r="L1322" s="7"/>
      <c r="M1322" s="7"/>
      <c r="N1322" s="7"/>
      <c r="O1322" s="7"/>
      <c r="P1322" s="7"/>
      <c r="Q1322" s="7"/>
      <c r="R1322" s="7"/>
    </row>
    <row r="1323" spans="1:18" x14ac:dyDescent="0.2">
      <c r="A1323" s="7"/>
      <c r="B1323" s="7"/>
      <c r="C1323" s="7"/>
      <c r="D1323" s="7"/>
      <c r="E1323" s="7"/>
      <c r="F1323" s="7"/>
      <c r="G1323" s="37"/>
      <c r="H1323" s="37"/>
      <c r="I1323" s="7"/>
      <c r="J1323" s="7"/>
      <c r="K1323" s="7"/>
      <c r="L1323" s="7"/>
      <c r="M1323" s="7"/>
      <c r="N1323" s="7"/>
      <c r="O1323" s="7"/>
      <c r="P1323" s="7"/>
      <c r="Q1323" s="7"/>
      <c r="R1323" s="7"/>
    </row>
    <row r="1324" spans="1:18" x14ac:dyDescent="0.2">
      <c r="A1324" s="7"/>
      <c r="B1324" s="7"/>
      <c r="C1324" s="7"/>
      <c r="D1324" s="7"/>
      <c r="E1324" s="7"/>
      <c r="F1324" s="7"/>
      <c r="G1324" s="37"/>
      <c r="H1324" s="37"/>
      <c r="I1324" s="7"/>
      <c r="J1324" s="7"/>
      <c r="K1324" s="7"/>
      <c r="L1324" s="7"/>
      <c r="M1324" s="7"/>
      <c r="N1324" s="7"/>
      <c r="O1324" s="7"/>
      <c r="P1324" s="7"/>
      <c r="Q1324" s="7"/>
      <c r="R1324" s="7"/>
    </row>
    <row r="1325" spans="1:18" x14ac:dyDescent="0.2">
      <c r="A1325" s="7"/>
      <c r="B1325" s="7"/>
      <c r="C1325" s="7"/>
      <c r="D1325" s="7"/>
      <c r="E1325" s="7"/>
      <c r="F1325" s="7"/>
      <c r="G1325" s="37"/>
      <c r="H1325" s="37"/>
      <c r="I1325" s="7"/>
      <c r="J1325" s="7"/>
      <c r="K1325" s="7"/>
      <c r="L1325" s="7"/>
      <c r="M1325" s="7"/>
      <c r="N1325" s="7"/>
      <c r="O1325" s="7"/>
      <c r="P1325" s="7"/>
      <c r="Q1325" s="7"/>
      <c r="R1325" s="7"/>
    </row>
    <row r="1326" spans="1:18" x14ac:dyDescent="0.2">
      <c r="A1326" s="7"/>
      <c r="B1326" s="7"/>
      <c r="C1326" s="7"/>
      <c r="D1326" s="7"/>
      <c r="E1326" s="7"/>
      <c r="F1326" s="7"/>
      <c r="G1326" s="37"/>
      <c r="H1326" s="37"/>
      <c r="I1326" s="7"/>
      <c r="J1326" s="7"/>
      <c r="K1326" s="7"/>
      <c r="L1326" s="7"/>
      <c r="M1326" s="7"/>
      <c r="N1326" s="7"/>
      <c r="O1326" s="7"/>
      <c r="P1326" s="7"/>
      <c r="Q1326" s="7"/>
      <c r="R1326" s="7"/>
    </row>
    <row r="1327" spans="1:18" x14ac:dyDescent="0.2">
      <c r="A1327" s="7"/>
      <c r="B1327" s="7"/>
      <c r="C1327" s="7"/>
      <c r="D1327" s="7"/>
      <c r="E1327" s="7"/>
      <c r="F1327" s="7"/>
      <c r="G1327" s="37"/>
      <c r="H1327" s="37"/>
      <c r="I1327" s="7"/>
      <c r="J1327" s="7"/>
      <c r="K1327" s="7"/>
      <c r="L1327" s="7"/>
      <c r="M1327" s="7"/>
      <c r="N1327" s="7"/>
      <c r="O1327" s="7"/>
      <c r="P1327" s="7"/>
      <c r="Q1327" s="7"/>
      <c r="R1327" s="7"/>
    </row>
    <row r="1328" spans="1:18" x14ac:dyDescent="0.2">
      <c r="A1328" s="7"/>
      <c r="B1328" s="7"/>
      <c r="C1328" s="7"/>
      <c r="D1328" s="7"/>
      <c r="E1328" s="7"/>
      <c r="F1328" s="7"/>
      <c r="G1328" s="37"/>
      <c r="H1328" s="37"/>
      <c r="I1328" s="7"/>
      <c r="J1328" s="7"/>
      <c r="K1328" s="7"/>
      <c r="L1328" s="7"/>
      <c r="M1328" s="7"/>
      <c r="N1328" s="7"/>
      <c r="O1328" s="7"/>
      <c r="P1328" s="7"/>
      <c r="Q1328" s="7"/>
      <c r="R1328" s="7"/>
    </row>
    <row r="1329" spans="1:18" x14ac:dyDescent="0.2">
      <c r="A1329" s="7"/>
      <c r="B1329" s="7"/>
      <c r="C1329" s="7"/>
      <c r="D1329" s="7"/>
      <c r="E1329" s="7"/>
      <c r="F1329" s="7"/>
      <c r="G1329" s="37"/>
      <c r="H1329" s="37"/>
      <c r="I1329" s="7"/>
      <c r="J1329" s="7"/>
      <c r="K1329" s="7"/>
      <c r="L1329" s="7"/>
      <c r="M1329" s="7"/>
      <c r="N1329" s="7"/>
      <c r="O1329" s="7"/>
      <c r="P1329" s="7"/>
      <c r="Q1329" s="7"/>
      <c r="R1329" s="7"/>
    </row>
    <row r="1330" spans="1:18" x14ac:dyDescent="0.2">
      <c r="A1330" s="7"/>
      <c r="B1330" s="7"/>
      <c r="C1330" s="7"/>
      <c r="D1330" s="7"/>
      <c r="E1330" s="7"/>
      <c r="F1330" s="7"/>
      <c r="G1330" s="37"/>
      <c r="H1330" s="37"/>
      <c r="I1330" s="7"/>
      <c r="J1330" s="7"/>
      <c r="K1330" s="7"/>
      <c r="L1330" s="7"/>
      <c r="M1330" s="7"/>
      <c r="N1330" s="7"/>
      <c r="O1330" s="7"/>
      <c r="P1330" s="7"/>
      <c r="Q1330" s="7"/>
      <c r="R1330" s="7"/>
    </row>
    <row r="1331" spans="1:18" x14ac:dyDescent="0.2">
      <c r="A1331" s="7"/>
      <c r="B1331" s="7"/>
      <c r="C1331" s="7"/>
      <c r="D1331" s="7"/>
      <c r="E1331" s="7"/>
      <c r="F1331" s="7"/>
      <c r="G1331" s="37"/>
      <c r="H1331" s="37"/>
      <c r="I1331" s="7"/>
      <c r="J1331" s="7"/>
      <c r="K1331" s="7"/>
      <c r="L1331" s="7"/>
      <c r="M1331" s="7"/>
      <c r="N1331" s="7"/>
      <c r="O1331" s="7"/>
      <c r="P1331" s="7"/>
      <c r="Q1331" s="7"/>
      <c r="R1331" s="7"/>
    </row>
    <row r="1332" spans="1:18" x14ac:dyDescent="0.2">
      <c r="A1332" s="7"/>
      <c r="B1332" s="7"/>
      <c r="C1332" s="7"/>
      <c r="D1332" s="7"/>
      <c r="E1332" s="7"/>
      <c r="F1332" s="7"/>
      <c r="G1332" s="37"/>
      <c r="H1332" s="37"/>
      <c r="I1332" s="7"/>
      <c r="J1332" s="7"/>
      <c r="K1332" s="7"/>
      <c r="L1332" s="7"/>
      <c r="M1332" s="7"/>
      <c r="N1332" s="7"/>
      <c r="O1332" s="7"/>
      <c r="P1332" s="7"/>
      <c r="Q1332" s="7"/>
      <c r="R1332" s="7"/>
    </row>
    <row r="1333" spans="1:18" x14ac:dyDescent="0.2">
      <c r="A1333" s="7"/>
      <c r="B1333" s="7"/>
      <c r="C1333" s="7"/>
      <c r="D1333" s="7"/>
      <c r="E1333" s="7"/>
      <c r="F1333" s="7"/>
      <c r="G1333" s="168"/>
      <c r="H1333" s="163"/>
      <c r="I1333" s="7"/>
      <c r="J1333" s="7"/>
      <c r="K1333" s="7"/>
      <c r="L1333" s="7"/>
      <c r="M1333" s="7"/>
      <c r="N1333" s="7"/>
      <c r="O1333" s="7"/>
      <c r="P1333" s="7"/>
      <c r="Q1333" s="7"/>
      <c r="R1333" s="7"/>
    </row>
    <row r="1334" spans="1:18" x14ac:dyDescent="0.2">
      <c r="A1334" s="7"/>
      <c r="B1334" s="7"/>
      <c r="C1334" s="7"/>
      <c r="D1334" s="7"/>
      <c r="E1334" s="7"/>
      <c r="F1334" s="7"/>
      <c r="G1334" s="166"/>
      <c r="H1334" s="37"/>
      <c r="I1334" s="7"/>
      <c r="J1334" s="7"/>
      <c r="K1334" s="7"/>
      <c r="L1334" s="7"/>
      <c r="M1334" s="7"/>
      <c r="N1334" s="7"/>
      <c r="O1334" s="7"/>
      <c r="P1334" s="7"/>
      <c r="Q1334" s="7"/>
      <c r="R1334" s="7"/>
    </row>
    <row r="1335" spans="1:18" x14ac:dyDescent="0.2">
      <c r="A1335" s="7"/>
      <c r="B1335" s="7"/>
      <c r="C1335" s="7"/>
      <c r="D1335" s="7"/>
      <c r="E1335" s="7"/>
      <c r="F1335" s="7"/>
      <c r="G1335" s="37"/>
      <c r="H1335" s="37"/>
      <c r="I1335" s="7"/>
      <c r="J1335" s="7"/>
      <c r="K1335" s="7"/>
      <c r="L1335" s="7"/>
      <c r="M1335" s="7"/>
      <c r="N1335" s="7"/>
      <c r="O1335" s="7"/>
      <c r="P1335" s="7"/>
      <c r="Q1335" s="7"/>
      <c r="R1335" s="7"/>
    </row>
    <row r="1336" spans="1:18" x14ac:dyDescent="0.2">
      <c r="A1336" s="7"/>
      <c r="B1336" s="7"/>
      <c r="C1336" s="7"/>
      <c r="D1336" s="7"/>
      <c r="E1336" s="7"/>
      <c r="F1336" s="7"/>
      <c r="G1336" s="37"/>
      <c r="H1336" s="37"/>
      <c r="I1336" s="7"/>
      <c r="J1336" s="7"/>
      <c r="K1336" s="7"/>
      <c r="L1336" s="7"/>
      <c r="M1336" s="7"/>
      <c r="N1336" s="7"/>
      <c r="O1336" s="7"/>
      <c r="P1336" s="7"/>
      <c r="Q1336" s="7"/>
      <c r="R1336" s="7"/>
    </row>
    <row r="1337" spans="1:18" x14ac:dyDescent="0.2">
      <c r="A1337" s="7"/>
      <c r="B1337" s="7"/>
      <c r="C1337" s="7"/>
      <c r="D1337" s="7"/>
      <c r="E1337" s="7"/>
      <c r="F1337" s="7"/>
      <c r="G1337" s="37"/>
      <c r="H1337" s="37"/>
      <c r="I1337" s="7"/>
      <c r="J1337" s="7"/>
      <c r="K1337" s="7"/>
      <c r="L1337" s="7"/>
      <c r="M1337" s="7"/>
      <c r="N1337" s="7"/>
      <c r="O1337" s="7"/>
      <c r="P1337" s="7"/>
      <c r="Q1337" s="7"/>
      <c r="R1337" s="7"/>
    </row>
    <row r="1338" spans="1:18" x14ac:dyDescent="0.2">
      <c r="A1338" s="7"/>
      <c r="B1338" s="7"/>
      <c r="C1338" s="7"/>
      <c r="D1338" s="7"/>
      <c r="E1338" s="7"/>
      <c r="F1338" s="7"/>
      <c r="G1338" s="37"/>
      <c r="H1338" s="37"/>
      <c r="I1338" s="7"/>
      <c r="J1338" s="7"/>
      <c r="K1338" s="7"/>
      <c r="L1338" s="7"/>
      <c r="M1338" s="7"/>
      <c r="N1338" s="7"/>
      <c r="O1338" s="7"/>
      <c r="P1338" s="7"/>
      <c r="Q1338" s="7"/>
      <c r="R1338" s="7"/>
    </row>
    <row r="1339" spans="1:18" x14ac:dyDescent="0.2">
      <c r="A1339" s="7"/>
      <c r="B1339" s="7"/>
      <c r="C1339" s="7"/>
      <c r="D1339" s="7"/>
      <c r="E1339" s="7"/>
      <c r="F1339" s="7"/>
      <c r="G1339" s="37"/>
      <c r="H1339" s="37"/>
      <c r="I1339" s="7"/>
      <c r="J1339" s="7"/>
      <c r="K1339" s="7"/>
      <c r="L1339" s="7"/>
      <c r="M1339" s="7"/>
      <c r="N1339" s="7"/>
      <c r="O1339" s="7"/>
      <c r="P1339" s="7"/>
      <c r="Q1339" s="7"/>
      <c r="R1339" s="7"/>
    </row>
    <row r="1340" spans="1:18" x14ac:dyDescent="0.2">
      <c r="A1340" s="7"/>
      <c r="B1340" s="7"/>
      <c r="C1340" s="7"/>
      <c r="D1340" s="7"/>
      <c r="E1340" s="7"/>
      <c r="F1340" s="7"/>
      <c r="G1340" s="37"/>
      <c r="H1340" s="37"/>
      <c r="I1340" s="7"/>
      <c r="J1340" s="7"/>
      <c r="K1340" s="7"/>
      <c r="L1340" s="7"/>
      <c r="M1340" s="7"/>
      <c r="N1340" s="7"/>
      <c r="O1340" s="7"/>
      <c r="P1340" s="7"/>
      <c r="Q1340" s="7"/>
      <c r="R1340" s="7"/>
    </row>
    <row r="1341" spans="1:18" x14ac:dyDescent="0.2">
      <c r="A1341" s="7"/>
      <c r="B1341" s="7"/>
      <c r="C1341" s="7"/>
      <c r="D1341" s="7"/>
      <c r="E1341" s="7"/>
      <c r="F1341" s="7"/>
      <c r="G1341" s="37"/>
      <c r="H1341" s="37"/>
      <c r="I1341" s="7"/>
      <c r="J1341" s="7"/>
      <c r="K1341" s="7"/>
      <c r="L1341" s="7"/>
      <c r="M1341" s="7"/>
      <c r="N1341" s="7"/>
      <c r="O1341" s="7"/>
      <c r="P1341" s="7"/>
      <c r="Q1341" s="7"/>
      <c r="R1341" s="7"/>
    </row>
    <row r="1342" spans="1:18" x14ac:dyDescent="0.2">
      <c r="A1342" s="7"/>
      <c r="B1342" s="7"/>
      <c r="C1342" s="7"/>
      <c r="D1342" s="7"/>
      <c r="E1342" s="7"/>
      <c r="F1342" s="7"/>
      <c r="G1342" s="37"/>
      <c r="H1342" s="37"/>
      <c r="I1342" s="7"/>
      <c r="J1342" s="7"/>
      <c r="K1342" s="7"/>
      <c r="L1342" s="7"/>
      <c r="M1342" s="7"/>
      <c r="N1342" s="7"/>
      <c r="O1342" s="7"/>
      <c r="P1342" s="7"/>
      <c r="Q1342" s="7"/>
      <c r="R1342" s="7"/>
    </row>
    <row r="1343" spans="1:18" x14ac:dyDescent="0.2">
      <c r="A1343" s="7"/>
      <c r="B1343" s="7"/>
      <c r="C1343" s="7"/>
      <c r="D1343" s="7"/>
      <c r="E1343" s="7"/>
      <c r="F1343" s="7"/>
      <c r="G1343" s="37"/>
      <c r="H1343" s="37"/>
      <c r="I1343" s="7"/>
      <c r="J1343" s="7"/>
      <c r="K1343" s="7"/>
      <c r="L1343" s="7"/>
      <c r="M1343" s="7"/>
      <c r="N1343" s="7"/>
      <c r="O1343" s="7"/>
      <c r="P1343" s="7"/>
      <c r="Q1343" s="7"/>
      <c r="R1343" s="7"/>
    </row>
    <row r="1344" spans="1:18" x14ac:dyDescent="0.2">
      <c r="A1344" s="7"/>
      <c r="B1344" s="7"/>
      <c r="C1344" s="7"/>
      <c r="D1344" s="7"/>
      <c r="E1344" s="7"/>
      <c r="F1344" s="7"/>
      <c r="G1344" s="37"/>
      <c r="H1344" s="37"/>
      <c r="I1344" s="7"/>
      <c r="J1344" s="7"/>
      <c r="K1344" s="7"/>
      <c r="L1344" s="7"/>
      <c r="M1344" s="7"/>
      <c r="N1344" s="7"/>
      <c r="O1344" s="7"/>
      <c r="P1344" s="7"/>
      <c r="Q1344" s="7"/>
      <c r="R1344" s="7"/>
    </row>
    <row r="1345" spans="1:18" x14ac:dyDescent="0.2">
      <c r="A1345" s="7"/>
      <c r="B1345" s="7"/>
      <c r="C1345" s="7"/>
      <c r="D1345" s="7"/>
      <c r="E1345" s="7"/>
      <c r="F1345" s="7"/>
      <c r="G1345" s="37"/>
      <c r="H1345" s="37"/>
      <c r="I1345" s="7"/>
      <c r="J1345" s="7"/>
      <c r="K1345" s="7"/>
      <c r="L1345" s="7"/>
      <c r="M1345" s="7"/>
      <c r="N1345" s="7"/>
      <c r="O1345" s="7"/>
      <c r="P1345" s="7"/>
      <c r="Q1345" s="7"/>
      <c r="R1345" s="7"/>
    </row>
    <row r="1346" spans="1:18" x14ac:dyDescent="0.2">
      <c r="A1346" s="7"/>
      <c r="B1346" s="7"/>
      <c r="C1346" s="7"/>
      <c r="D1346" s="7"/>
      <c r="E1346" s="7"/>
      <c r="F1346" s="7"/>
      <c r="G1346" s="37"/>
      <c r="H1346" s="37"/>
      <c r="I1346" s="7"/>
      <c r="J1346" s="7"/>
      <c r="K1346" s="7"/>
      <c r="L1346" s="7"/>
      <c r="M1346" s="7"/>
      <c r="N1346" s="7"/>
      <c r="O1346" s="7"/>
      <c r="P1346" s="7"/>
      <c r="Q1346" s="7"/>
      <c r="R1346" s="7"/>
    </row>
    <row r="1347" spans="1:18" x14ac:dyDescent="0.2">
      <c r="A1347" s="7"/>
      <c r="B1347" s="7"/>
      <c r="C1347" s="7"/>
      <c r="D1347" s="7"/>
      <c r="E1347" s="7"/>
      <c r="F1347" s="7"/>
      <c r="G1347" s="37"/>
      <c r="H1347" s="37"/>
      <c r="I1347" s="7"/>
      <c r="J1347" s="7"/>
      <c r="K1347" s="7"/>
      <c r="L1347" s="7"/>
      <c r="M1347" s="7"/>
      <c r="N1347" s="7"/>
      <c r="O1347" s="7"/>
      <c r="P1347" s="7"/>
      <c r="Q1347" s="7"/>
      <c r="R1347" s="7"/>
    </row>
    <row r="1348" spans="1:18" x14ac:dyDescent="0.2">
      <c r="A1348" s="7"/>
      <c r="B1348" s="7"/>
      <c r="C1348" s="7"/>
      <c r="D1348" s="7"/>
      <c r="E1348" s="7"/>
      <c r="F1348" s="7"/>
      <c r="G1348" s="37"/>
      <c r="H1348" s="37"/>
      <c r="I1348" s="7"/>
      <c r="J1348" s="7"/>
      <c r="K1348" s="7"/>
      <c r="L1348" s="7"/>
      <c r="M1348" s="7"/>
      <c r="N1348" s="7"/>
      <c r="O1348" s="7"/>
      <c r="P1348" s="7"/>
      <c r="Q1348" s="7"/>
      <c r="R1348" s="7"/>
    </row>
    <row r="1349" spans="1:18" x14ac:dyDescent="0.2">
      <c r="A1349" s="7"/>
      <c r="B1349" s="7"/>
      <c r="C1349" s="7"/>
      <c r="D1349" s="7"/>
      <c r="E1349" s="7"/>
      <c r="F1349" s="7"/>
      <c r="G1349" s="37"/>
      <c r="H1349" s="37"/>
      <c r="I1349" s="7"/>
      <c r="J1349" s="7"/>
      <c r="K1349" s="7"/>
      <c r="L1349" s="7"/>
      <c r="M1349" s="7"/>
      <c r="N1349" s="7"/>
      <c r="O1349" s="7"/>
      <c r="P1349" s="7"/>
      <c r="Q1349" s="7"/>
      <c r="R1349" s="7"/>
    </row>
    <row r="1350" spans="1:18" x14ac:dyDescent="0.2">
      <c r="A1350" s="7"/>
      <c r="B1350" s="7"/>
      <c r="C1350" s="7"/>
      <c r="D1350" s="7"/>
      <c r="E1350" s="7"/>
      <c r="F1350" s="7"/>
      <c r="G1350" s="37"/>
      <c r="H1350" s="37"/>
      <c r="I1350" s="7"/>
      <c r="J1350" s="7"/>
      <c r="K1350" s="7"/>
      <c r="L1350" s="7"/>
      <c r="M1350" s="7"/>
      <c r="N1350" s="7"/>
      <c r="O1350" s="7"/>
      <c r="P1350" s="7"/>
      <c r="Q1350" s="7"/>
      <c r="R1350" s="7"/>
    </row>
    <row r="1351" spans="1:18" x14ac:dyDescent="0.2">
      <c r="A1351" s="7"/>
      <c r="B1351" s="7"/>
      <c r="C1351" s="7"/>
      <c r="D1351" s="7"/>
      <c r="E1351" s="7"/>
      <c r="F1351" s="7"/>
      <c r="G1351" s="37"/>
      <c r="H1351" s="37"/>
      <c r="I1351" s="7"/>
      <c r="J1351" s="7"/>
      <c r="K1351" s="7"/>
      <c r="L1351" s="7"/>
      <c r="M1351" s="7"/>
      <c r="N1351" s="7"/>
      <c r="O1351" s="7"/>
      <c r="P1351" s="7"/>
      <c r="Q1351" s="7"/>
      <c r="R1351" s="7"/>
    </row>
    <row r="1352" spans="1:18" x14ac:dyDescent="0.2">
      <c r="A1352" s="7"/>
      <c r="B1352" s="7"/>
      <c r="C1352" s="7"/>
      <c r="D1352" s="7"/>
      <c r="E1352" s="7"/>
      <c r="F1352" s="7"/>
      <c r="G1352" s="163"/>
      <c r="H1352" s="163"/>
      <c r="I1352" s="7"/>
      <c r="J1352" s="7"/>
      <c r="K1352" s="7"/>
      <c r="L1352" s="7"/>
      <c r="M1352" s="7"/>
      <c r="N1352" s="7"/>
      <c r="O1352" s="7"/>
      <c r="P1352" s="7"/>
      <c r="Q1352" s="7"/>
      <c r="R1352" s="7"/>
    </row>
    <row r="1353" spans="1:18" x14ac:dyDescent="0.2">
      <c r="A1353" s="7"/>
      <c r="B1353" s="7"/>
      <c r="C1353" s="7"/>
      <c r="D1353" s="7"/>
      <c r="E1353" s="7"/>
      <c r="F1353" s="7"/>
      <c r="G1353" s="37"/>
      <c r="H1353" s="37"/>
      <c r="I1353" s="7"/>
      <c r="J1353" s="7"/>
      <c r="K1353" s="7"/>
      <c r="L1353" s="7"/>
      <c r="M1353" s="7"/>
      <c r="N1353" s="7"/>
      <c r="O1353" s="7"/>
      <c r="P1353" s="7"/>
      <c r="Q1353" s="7"/>
      <c r="R1353" s="7"/>
    </row>
    <row r="1354" spans="1:18" x14ac:dyDescent="0.2">
      <c r="A1354" s="7"/>
      <c r="B1354" s="7"/>
      <c r="C1354" s="7"/>
      <c r="D1354" s="7"/>
      <c r="E1354" s="7"/>
      <c r="F1354" s="7"/>
      <c r="G1354" s="169"/>
      <c r="H1354" s="163"/>
      <c r="I1354" s="7"/>
      <c r="J1354" s="7"/>
      <c r="K1354" s="7"/>
      <c r="L1354" s="7"/>
      <c r="M1354" s="7"/>
      <c r="N1354" s="7"/>
      <c r="O1354" s="7"/>
      <c r="P1354" s="7"/>
      <c r="Q1354" s="7"/>
      <c r="R1354" s="7"/>
    </row>
    <row r="1355" spans="1:18" x14ac:dyDescent="0.2">
      <c r="A1355" s="7"/>
      <c r="B1355" s="7"/>
      <c r="C1355" s="7"/>
      <c r="D1355" s="7"/>
      <c r="E1355" s="7"/>
      <c r="F1355" s="7"/>
      <c r="G1355" s="37"/>
      <c r="H1355" s="37"/>
      <c r="I1355" s="7"/>
      <c r="J1355" s="7"/>
      <c r="K1355" s="7"/>
      <c r="L1355" s="7"/>
      <c r="M1355" s="7"/>
      <c r="N1355" s="7"/>
      <c r="O1355" s="7"/>
      <c r="P1355" s="7"/>
      <c r="Q1355" s="7"/>
      <c r="R1355" s="7"/>
    </row>
    <row r="1356" spans="1:18" x14ac:dyDescent="0.2">
      <c r="A1356" s="7"/>
      <c r="B1356" s="7"/>
      <c r="C1356" s="7"/>
      <c r="D1356" s="7"/>
      <c r="E1356" s="7"/>
      <c r="F1356" s="7"/>
      <c r="G1356" s="162"/>
      <c r="H1356" s="163"/>
      <c r="I1356" s="7"/>
      <c r="J1356" s="7"/>
      <c r="K1356" s="7"/>
      <c r="L1356" s="7"/>
      <c r="M1356" s="7"/>
      <c r="N1356" s="7"/>
      <c r="O1356" s="7"/>
      <c r="P1356" s="7"/>
      <c r="Q1356" s="7"/>
      <c r="R1356" s="7"/>
    </row>
    <row r="1357" spans="1:18" x14ac:dyDescent="0.2">
      <c r="A1357" s="7"/>
      <c r="B1357" s="7"/>
      <c r="C1357" s="7"/>
      <c r="D1357" s="7"/>
      <c r="E1357" s="7"/>
      <c r="F1357" s="7"/>
      <c r="G1357" s="37"/>
      <c r="H1357" s="37"/>
      <c r="I1357" s="7"/>
      <c r="J1357" s="7"/>
      <c r="K1357" s="7"/>
      <c r="L1357" s="7"/>
      <c r="M1357" s="7"/>
      <c r="N1357" s="7"/>
      <c r="O1357" s="7"/>
      <c r="P1357" s="7"/>
      <c r="Q1357" s="7"/>
      <c r="R1357" s="7"/>
    </row>
    <row r="1358" spans="1:18" x14ac:dyDescent="0.2">
      <c r="A1358" s="7"/>
      <c r="B1358" s="7"/>
      <c r="C1358" s="7"/>
      <c r="D1358" s="7"/>
      <c r="E1358" s="7"/>
      <c r="F1358" s="7"/>
      <c r="G1358" s="37"/>
      <c r="H1358" s="37"/>
      <c r="I1358" s="7"/>
      <c r="J1358" s="7"/>
      <c r="K1358" s="7"/>
      <c r="L1358" s="7"/>
      <c r="M1358" s="7"/>
      <c r="N1358" s="7"/>
      <c r="O1358" s="7"/>
      <c r="P1358" s="7"/>
      <c r="Q1358" s="7"/>
      <c r="R1358" s="7"/>
    </row>
    <row r="1359" spans="1:18" x14ac:dyDescent="0.2">
      <c r="A1359" s="7"/>
      <c r="B1359" s="7"/>
      <c r="C1359" s="7"/>
      <c r="D1359" s="7"/>
      <c r="E1359" s="7"/>
      <c r="F1359" s="7"/>
      <c r="G1359" s="37"/>
      <c r="H1359" s="37"/>
      <c r="I1359" s="7"/>
      <c r="J1359" s="7"/>
      <c r="K1359" s="7"/>
      <c r="L1359" s="7"/>
      <c r="M1359" s="7"/>
      <c r="N1359" s="7"/>
      <c r="O1359" s="7"/>
      <c r="P1359" s="7"/>
      <c r="Q1359" s="7"/>
      <c r="R1359" s="7"/>
    </row>
    <row r="1360" spans="1:18" x14ac:dyDescent="0.2">
      <c r="A1360" s="7"/>
      <c r="B1360" s="7"/>
      <c r="C1360" s="7"/>
      <c r="D1360" s="7"/>
      <c r="E1360" s="7"/>
      <c r="F1360" s="7"/>
      <c r="G1360" s="162"/>
      <c r="H1360" s="163"/>
      <c r="I1360" s="7"/>
      <c r="J1360" s="7"/>
      <c r="K1360" s="7"/>
      <c r="L1360" s="7"/>
      <c r="M1360" s="7"/>
      <c r="N1360" s="7"/>
      <c r="O1360" s="7"/>
      <c r="P1360" s="7"/>
      <c r="Q1360" s="7"/>
      <c r="R1360" s="7"/>
    </row>
    <row r="1361" spans="1:18" x14ac:dyDescent="0.2">
      <c r="A1361" s="7"/>
      <c r="B1361" s="7"/>
      <c r="C1361" s="7"/>
      <c r="D1361" s="7"/>
      <c r="E1361" s="7"/>
      <c r="F1361" s="7"/>
      <c r="G1361" s="37"/>
      <c r="H1361" s="37"/>
      <c r="I1361" s="7"/>
      <c r="J1361" s="7"/>
      <c r="K1361" s="7"/>
      <c r="L1361" s="7"/>
      <c r="M1361" s="7"/>
      <c r="N1361" s="7"/>
      <c r="O1361" s="7"/>
      <c r="P1361" s="7"/>
      <c r="Q1361" s="7"/>
      <c r="R1361" s="7"/>
    </row>
    <row r="1362" spans="1:18" x14ac:dyDescent="0.2">
      <c r="A1362" s="7"/>
      <c r="B1362" s="7"/>
      <c r="C1362" s="7"/>
      <c r="D1362" s="7"/>
      <c r="E1362" s="7"/>
      <c r="F1362" s="7"/>
      <c r="G1362" s="37"/>
      <c r="H1362" s="37"/>
      <c r="I1362" s="7"/>
      <c r="J1362" s="7"/>
      <c r="K1362" s="7"/>
      <c r="L1362" s="7"/>
      <c r="M1362" s="7"/>
      <c r="N1362" s="7"/>
      <c r="O1362" s="7"/>
      <c r="P1362" s="7"/>
      <c r="Q1362" s="7"/>
      <c r="R1362" s="7"/>
    </row>
    <row r="1363" spans="1:18" x14ac:dyDescent="0.2">
      <c r="A1363" s="7"/>
      <c r="B1363" s="7"/>
      <c r="C1363" s="7"/>
      <c r="D1363" s="7"/>
      <c r="E1363" s="7"/>
      <c r="F1363" s="7"/>
      <c r="G1363" s="37"/>
      <c r="H1363" s="37"/>
      <c r="I1363" s="7"/>
      <c r="J1363" s="7"/>
      <c r="K1363" s="7"/>
      <c r="L1363" s="7"/>
      <c r="M1363" s="7"/>
      <c r="N1363" s="7"/>
      <c r="O1363" s="7"/>
      <c r="P1363" s="7"/>
      <c r="Q1363" s="7"/>
      <c r="R1363" s="7"/>
    </row>
    <row r="1364" spans="1:18" x14ac:dyDescent="0.2">
      <c r="A1364" s="7"/>
      <c r="B1364" s="7"/>
      <c r="C1364" s="7"/>
      <c r="D1364" s="7"/>
      <c r="E1364" s="7"/>
      <c r="F1364" s="7"/>
      <c r="G1364" s="37"/>
      <c r="H1364" s="37"/>
      <c r="I1364" s="7"/>
      <c r="J1364" s="7"/>
      <c r="K1364" s="7"/>
      <c r="L1364" s="7"/>
      <c r="M1364" s="7"/>
      <c r="N1364" s="7"/>
      <c r="O1364" s="7"/>
      <c r="P1364" s="7"/>
      <c r="Q1364" s="7"/>
      <c r="R1364" s="7"/>
    </row>
    <row r="1365" spans="1:18" x14ac:dyDescent="0.2">
      <c r="A1365" s="7"/>
      <c r="B1365" s="7"/>
      <c r="C1365" s="7"/>
      <c r="D1365" s="7"/>
      <c r="E1365" s="7"/>
      <c r="F1365" s="7"/>
      <c r="G1365" s="37"/>
      <c r="H1365" s="37"/>
      <c r="I1365" s="7"/>
      <c r="J1365" s="7"/>
      <c r="K1365" s="7"/>
      <c r="L1365" s="7"/>
      <c r="M1365" s="7"/>
      <c r="N1365" s="7"/>
      <c r="O1365" s="7"/>
      <c r="P1365" s="7"/>
      <c r="Q1365" s="7"/>
      <c r="R1365" s="7"/>
    </row>
    <row r="1366" spans="1:18" x14ac:dyDescent="0.2">
      <c r="A1366" s="7"/>
      <c r="B1366" s="7"/>
      <c r="C1366" s="7"/>
      <c r="D1366" s="7"/>
      <c r="E1366" s="7"/>
      <c r="F1366" s="7"/>
      <c r="G1366" s="37"/>
      <c r="H1366" s="37"/>
      <c r="I1366" s="7"/>
      <c r="J1366" s="7"/>
      <c r="K1366" s="7"/>
      <c r="L1366" s="7"/>
      <c r="M1366" s="7"/>
      <c r="N1366" s="7"/>
      <c r="O1366" s="7"/>
      <c r="P1366" s="7"/>
      <c r="Q1366" s="7"/>
      <c r="R1366" s="7"/>
    </row>
    <row r="1367" spans="1:18" x14ac:dyDescent="0.2">
      <c r="A1367" s="7"/>
      <c r="B1367" s="7"/>
      <c r="C1367" s="7"/>
      <c r="D1367" s="7"/>
      <c r="E1367" s="7"/>
      <c r="F1367" s="7"/>
      <c r="G1367" s="162"/>
      <c r="H1367" s="163"/>
      <c r="I1367" s="7"/>
      <c r="J1367" s="7"/>
      <c r="K1367" s="7"/>
      <c r="L1367" s="7"/>
      <c r="M1367" s="7"/>
      <c r="N1367" s="7"/>
      <c r="O1367" s="7"/>
      <c r="P1367" s="7"/>
      <c r="Q1367" s="7"/>
      <c r="R1367" s="7"/>
    </row>
    <row r="1368" spans="1:18" x14ac:dyDescent="0.2">
      <c r="A1368" s="7"/>
      <c r="B1368" s="7"/>
      <c r="C1368" s="7"/>
      <c r="D1368" s="7"/>
      <c r="E1368" s="7"/>
      <c r="F1368" s="7"/>
      <c r="G1368" s="37"/>
      <c r="H1368" s="37"/>
      <c r="I1368" s="7"/>
      <c r="J1368" s="7"/>
      <c r="K1368" s="7"/>
      <c r="L1368" s="7"/>
      <c r="M1368" s="7"/>
      <c r="N1368" s="7"/>
      <c r="O1368" s="7"/>
      <c r="P1368" s="7"/>
      <c r="Q1368" s="7"/>
      <c r="R1368" s="7"/>
    </row>
    <row r="1369" spans="1:18" x14ac:dyDescent="0.2">
      <c r="A1369" s="7"/>
      <c r="B1369" s="7"/>
      <c r="C1369" s="7"/>
      <c r="D1369" s="7"/>
      <c r="E1369" s="7"/>
      <c r="F1369" s="7"/>
      <c r="G1369" s="37"/>
      <c r="H1369" s="37"/>
      <c r="I1369" s="7"/>
      <c r="J1369" s="7"/>
      <c r="K1369" s="7"/>
      <c r="L1369" s="7"/>
      <c r="M1369" s="7"/>
      <c r="N1369" s="7"/>
      <c r="O1369" s="7"/>
      <c r="P1369" s="7"/>
      <c r="Q1369" s="7"/>
      <c r="R1369" s="7"/>
    </row>
    <row r="1370" spans="1:18" x14ac:dyDescent="0.2">
      <c r="A1370" s="7"/>
      <c r="B1370" s="7"/>
      <c r="C1370" s="7"/>
      <c r="D1370" s="7"/>
      <c r="E1370" s="7"/>
      <c r="F1370" s="7"/>
      <c r="G1370" s="111"/>
      <c r="H1370" s="166"/>
      <c r="I1370" s="7"/>
      <c r="J1370" s="7"/>
      <c r="K1370" s="7"/>
      <c r="L1370" s="7"/>
      <c r="M1370" s="7"/>
      <c r="N1370" s="7"/>
      <c r="O1370" s="7"/>
      <c r="P1370" s="7"/>
      <c r="Q1370" s="7"/>
      <c r="R1370" s="7"/>
    </row>
    <row r="1371" spans="1:18" x14ac:dyDescent="0.2">
      <c r="A1371" s="7"/>
      <c r="B1371" s="7"/>
      <c r="C1371" s="7"/>
      <c r="D1371" s="7"/>
      <c r="E1371" s="7"/>
      <c r="F1371" s="7"/>
      <c r="G1371" s="166"/>
      <c r="H1371" s="166"/>
      <c r="I1371" s="7"/>
      <c r="J1371" s="7"/>
      <c r="K1371" s="7"/>
      <c r="L1371" s="7"/>
      <c r="M1371" s="7"/>
      <c r="N1371" s="7"/>
      <c r="O1371" s="7"/>
      <c r="P1371" s="7"/>
      <c r="Q1371" s="7"/>
      <c r="R1371" s="7"/>
    </row>
    <row r="1372" spans="1:18" x14ac:dyDescent="0.2">
      <c r="A1372" s="7"/>
      <c r="B1372" s="7"/>
      <c r="C1372" s="7"/>
      <c r="D1372" s="7"/>
      <c r="E1372" s="7"/>
      <c r="F1372" s="7"/>
      <c r="G1372" s="168"/>
      <c r="H1372" s="163"/>
      <c r="I1372" s="7"/>
      <c r="J1372" s="7"/>
      <c r="K1372" s="7"/>
      <c r="L1372" s="7"/>
      <c r="M1372" s="7"/>
      <c r="N1372" s="7"/>
      <c r="O1372" s="7"/>
      <c r="P1372" s="7"/>
      <c r="Q1372" s="7"/>
      <c r="R1372" s="7"/>
    </row>
    <row r="1373" spans="1:18" x14ac:dyDescent="0.2">
      <c r="A1373" s="7"/>
      <c r="B1373" s="7"/>
      <c r="C1373" s="7"/>
      <c r="D1373" s="7"/>
      <c r="E1373" s="7"/>
      <c r="F1373" s="7"/>
      <c r="G1373" s="37"/>
      <c r="H1373" s="37"/>
      <c r="I1373" s="7"/>
      <c r="J1373" s="7"/>
      <c r="K1373" s="7"/>
      <c r="L1373" s="7"/>
      <c r="M1373" s="7"/>
      <c r="N1373" s="7"/>
      <c r="O1373" s="7"/>
      <c r="P1373" s="7"/>
      <c r="Q1373" s="7"/>
      <c r="R1373" s="7"/>
    </row>
    <row r="1374" spans="1:18" x14ac:dyDescent="0.2">
      <c r="A1374" s="7"/>
      <c r="B1374" s="7"/>
      <c r="C1374" s="7"/>
      <c r="D1374" s="7"/>
      <c r="E1374" s="7"/>
      <c r="F1374" s="7"/>
      <c r="G1374" s="37"/>
      <c r="H1374" s="37"/>
      <c r="I1374" s="7"/>
      <c r="J1374" s="7"/>
      <c r="K1374" s="7"/>
      <c r="L1374" s="7"/>
      <c r="M1374" s="7"/>
      <c r="N1374" s="7"/>
      <c r="O1374" s="7"/>
      <c r="P1374" s="7"/>
      <c r="Q1374" s="7"/>
      <c r="R1374" s="7"/>
    </row>
    <row r="1375" spans="1:18" x14ac:dyDescent="0.2">
      <c r="A1375" s="7"/>
      <c r="B1375" s="7"/>
      <c r="C1375" s="7"/>
      <c r="D1375" s="7"/>
      <c r="E1375" s="7"/>
      <c r="F1375" s="7"/>
      <c r="G1375" s="163"/>
      <c r="H1375" s="163"/>
      <c r="I1375" s="7"/>
      <c r="J1375" s="7"/>
      <c r="K1375" s="7"/>
      <c r="L1375" s="7"/>
      <c r="M1375" s="7"/>
      <c r="N1375" s="7"/>
      <c r="O1375" s="7"/>
      <c r="P1375" s="7"/>
      <c r="Q1375" s="7"/>
      <c r="R1375" s="7"/>
    </row>
    <row r="1376" spans="1:18" x14ac:dyDescent="0.2">
      <c r="A1376" s="7"/>
      <c r="B1376" s="7"/>
      <c r="C1376" s="7"/>
      <c r="D1376" s="7"/>
      <c r="E1376" s="7"/>
      <c r="F1376" s="7"/>
      <c r="G1376" s="37"/>
      <c r="H1376" s="37"/>
      <c r="I1376" s="7"/>
      <c r="J1376" s="7"/>
      <c r="K1376" s="7"/>
      <c r="L1376" s="7"/>
      <c r="M1376" s="7"/>
      <c r="N1376" s="7"/>
      <c r="O1376" s="7"/>
      <c r="P1376" s="7"/>
      <c r="Q1376" s="7"/>
      <c r="R1376" s="7"/>
    </row>
    <row r="1377" spans="1:18" x14ac:dyDescent="0.2">
      <c r="A1377" s="7"/>
      <c r="B1377" s="7"/>
      <c r="C1377" s="7"/>
      <c r="D1377" s="7"/>
      <c r="E1377" s="7"/>
      <c r="F1377" s="7"/>
      <c r="G1377" s="37"/>
      <c r="H1377" s="37"/>
      <c r="I1377" s="7"/>
      <c r="J1377" s="7"/>
      <c r="K1377" s="7"/>
      <c r="L1377" s="7"/>
      <c r="M1377" s="7"/>
      <c r="N1377" s="7"/>
      <c r="O1377" s="7"/>
      <c r="P1377" s="7"/>
      <c r="Q1377" s="7"/>
      <c r="R1377" s="7"/>
    </row>
    <row r="1378" spans="1:18" x14ac:dyDescent="0.2">
      <c r="A1378" s="7"/>
      <c r="B1378" s="7"/>
      <c r="C1378" s="7"/>
      <c r="D1378" s="7"/>
      <c r="E1378" s="7"/>
      <c r="F1378" s="7"/>
      <c r="G1378" s="37"/>
      <c r="H1378" s="37"/>
      <c r="I1378" s="7"/>
      <c r="J1378" s="7"/>
      <c r="K1378" s="7"/>
      <c r="L1378" s="7"/>
      <c r="M1378" s="7"/>
      <c r="N1378" s="7"/>
      <c r="O1378" s="7"/>
      <c r="P1378" s="7"/>
      <c r="Q1378" s="7"/>
      <c r="R1378" s="7"/>
    </row>
    <row r="1379" spans="1:18" x14ac:dyDescent="0.2">
      <c r="A1379" s="7"/>
      <c r="B1379" s="7"/>
      <c r="C1379" s="7"/>
      <c r="D1379" s="7"/>
      <c r="E1379" s="7"/>
      <c r="F1379" s="7"/>
      <c r="G1379" s="163"/>
      <c r="H1379" s="163"/>
      <c r="I1379" s="7"/>
      <c r="J1379" s="7"/>
      <c r="K1379" s="7"/>
      <c r="L1379" s="7"/>
      <c r="M1379" s="7"/>
      <c r="N1379" s="7"/>
      <c r="O1379" s="7"/>
      <c r="P1379" s="7"/>
      <c r="Q1379" s="7"/>
      <c r="R1379" s="7"/>
    </row>
    <row r="1380" spans="1:18" x14ac:dyDescent="0.2">
      <c r="A1380" s="7"/>
      <c r="B1380" s="7"/>
      <c r="C1380" s="7"/>
      <c r="D1380" s="7"/>
      <c r="E1380" s="7"/>
      <c r="F1380" s="7"/>
      <c r="G1380" s="106"/>
      <c r="H1380" s="37"/>
      <c r="I1380" s="7"/>
      <c r="J1380" s="7"/>
      <c r="K1380" s="7"/>
      <c r="L1380" s="7"/>
      <c r="M1380" s="7"/>
      <c r="N1380" s="7"/>
      <c r="O1380" s="7"/>
      <c r="P1380" s="7"/>
      <c r="Q1380" s="7"/>
      <c r="R1380" s="7"/>
    </row>
    <row r="1381" spans="1:18" x14ac:dyDescent="0.2">
      <c r="A1381" s="7"/>
      <c r="B1381" s="7"/>
      <c r="C1381" s="7"/>
      <c r="D1381" s="7"/>
      <c r="E1381" s="7"/>
      <c r="F1381" s="7"/>
      <c r="G1381" s="106"/>
      <c r="H1381" s="37"/>
      <c r="I1381" s="7"/>
      <c r="J1381" s="7"/>
      <c r="K1381" s="7"/>
      <c r="L1381" s="7"/>
      <c r="M1381" s="7"/>
      <c r="N1381" s="7"/>
      <c r="O1381" s="7"/>
      <c r="P1381" s="7"/>
      <c r="Q1381" s="7"/>
      <c r="R1381" s="7"/>
    </row>
    <row r="1382" spans="1:18" x14ac:dyDescent="0.2">
      <c r="A1382" s="7"/>
      <c r="B1382" s="7"/>
      <c r="C1382" s="7"/>
      <c r="D1382" s="7"/>
      <c r="E1382" s="7"/>
      <c r="F1382" s="7"/>
      <c r="G1382" s="163"/>
      <c r="H1382" s="163"/>
      <c r="I1382" s="7"/>
      <c r="J1382" s="7"/>
      <c r="K1382" s="7"/>
      <c r="L1382" s="7"/>
      <c r="M1382" s="7"/>
      <c r="N1382" s="7"/>
      <c r="O1382" s="7"/>
      <c r="P1382" s="7"/>
      <c r="Q1382" s="7"/>
      <c r="R1382" s="7"/>
    </row>
    <row r="1383" spans="1:18" x14ac:dyDescent="0.2">
      <c r="A1383" s="7"/>
      <c r="B1383" s="7"/>
      <c r="C1383" s="7"/>
      <c r="D1383" s="7"/>
      <c r="E1383" s="7"/>
      <c r="F1383" s="7"/>
      <c r="G1383" s="37"/>
      <c r="H1383" s="37"/>
      <c r="I1383" s="7"/>
      <c r="J1383" s="7"/>
      <c r="K1383" s="7"/>
      <c r="L1383" s="7"/>
      <c r="M1383" s="7"/>
      <c r="N1383" s="7"/>
      <c r="O1383" s="7"/>
      <c r="P1383" s="7"/>
      <c r="Q1383" s="7"/>
      <c r="R1383" s="7"/>
    </row>
    <row r="1384" spans="1:18" x14ac:dyDescent="0.2">
      <c r="A1384" s="7"/>
      <c r="B1384" s="7"/>
      <c r="C1384" s="7"/>
      <c r="D1384" s="7"/>
      <c r="E1384" s="7"/>
      <c r="F1384" s="7"/>
      <c r="G1384" s="37"/>
      <c r="H1384" s="37"/>
      <c r="I1384" s="7"/>
      <c r="J1384" s="7"/>
      <c r="K1384" s="7"/>
      <c r="L1384" s="7"/>
      <c r="M1384" s="7"/>
      <c r="N1384" s="7"/>
      <c r="O1384" s="7"/>
      <c r="P1384" s="7"/>
      <c r="Q1384" s="7"/>
      <c r="R1384" s="7"/>
    </row>
    <row r="1385" spans="1:18" x14ac:dyDescent="0.2">
      <c r="A1385" s="7"/>
      <c r="B1385" s="7"/>
      <c r="C1385" s="7"/>
      <c r="D1385" s="7"/>
      <c r="E1385" s="7"/>
      <c r="F1385" s="7"/>
      <c r="G1385" s="37"/>
      <c r="H1385" s="37"/>
      <c r="I1385" s="7"/>
      <c r="J1385" s="7"/>
      <c r="K1385" s="7"/>
      <c r="L1385" s="7"/>
      <c r="M1385" s="7"/>
      <c r="N1385" s="7"/>
      <c r="O1385" s="7"/>
      <c r="P1385" s="7"/>
      <c r="Q1385" s="7"/>
      <c r="R1385" s="7"/>
    </row>
    <row r="1386" spans="1:18" x14ac:dyDescent="0.2">
      <c r="A1386" s="7"/>
      <c r="B1386" s="7"/>
      <c r="C1386" s="7"/>
      <c r="D1386" s="7"/>
      <c r="E1386" s="7"/>
      <c r="F1386" s="7"/>
      <c r="G1386" s="37"/>
      <c r="H1386" s="37"/>
      <c r="I1386" s="7"/>
      <c r="J1386" s="7"/>
      <c r="K1386" s="7"/>
      <c r="L1386" s="7"/>
      <c r="M1386" s="7"/>
      <c r="N1386" s="7"/>
      <c r="O1386" s="7"/>
      <c r="P1386" s="7"/>
      <c r="Q1386" s="7"/>
      <c r="R1386" s="7"/>
    </row>
    <row r="1387" spans="1:18" x14ac:dyDescent="0.2">
      <c r="A1387" s="7"/>
      <c r="B1387" s="7"/>
      <c r="C1387" s="7"/>
      <c r="D1387" s="7"/>
      <c r="E1387" s="7"/>
      <c r="F1387" s="7"/>
      <c r="G1387" s="37"/>
      <c r="H1387" s="37"/>
      <c r="I1387" s="7"/>
      <c r="J1387" s="7"/>
      <c r="K1387" s="7"/>
      <c r="L1387" s="7"/>
      <c r="M1387" s="7"/>
      <c r="N1387" s="7"/>
      <c r="O1387" s="7"/>
      <c r="P1387" s="7"/>
      <c r="Q1387" s="7"/>
      <c r="R1387" s="7"/>
    </row>
    <row r="1388" spans="1:18" x14ac:dyDescent="0.2">
      <c r="A1388" s="7"/>
      <c r="B1388" s="7"/>
      <c r="C1388" s="7"/>
      <c r="D1388" s="7"/>
      <c r="E1388" s="7"/>
      <c r="F1388" s="7"/>
      <c r="G1388" s="163"/>
      <c r="H1388" s="163"/>
      <c r="I1388" s="7"/>
      <c r="J1388" s="7"/>
      <c r="K1388" s="7"/>
      <c r="L1388" s="7"/>
      <c r="M1388" s="7"/>
      <c r="N1388" s="7"/>
      <c r="O1388" s="7"/>
      <c r="P1388" s="7"/>
      <c r="Q1388" s="7"/>
      <c r="R1388" s="7"/>
    </row>
    <row r="1389" spans="1:18" x14ac:dyDescent="0.2">
      <c r="A1389" s="7"/>
      <c r="B1389" s="7"/>
      <c r="C1389" s="7"/>
      <c r="D1389" s="7"/>
      <c r="E1389" s="7"/>
      <c r="F1389" s="7"/>
      <c r="G1389" s="37"/>
      <c r="H1389" s="37"/>
      <c r="I1389" s="7"/>
      <c r="J1389" s="7"/>
      <c r="K1389" s="7"/>
      <c r="L1389" s="7"/>
      <c r="M1389" s="7"/>
      <c r="N1389" s="7"/>
      <c r="O1389" s="7"/>
      <c r="P1389" s="7"/>
      <c r="Q1389" s="7"/>
      <c r="R1389" s="7"/>
    </row>
    <row r="1390" spans="1:18" x14ac:dyDescent="0.2">
      <c r="A1390" s="7"/>
      <c r="B1390" s="7"/>
      <c r="C1390" s="7"/>
      <c r="D1390" s="7"/>
      <c r="E1390" s="7"/>
      <c r="F1390" s="7"/>
      <c r="G1390" s="166"/>
      <c r="H1390" s="166"/>
      <c r="I1390" s="7"/>
      <c r="J1390" s="7"/>
      <c r="K1390" s="7"/>
      <c r="L1390" s="7"/>
      <c r="M1390" s="7"/>
      <c r="N1390" s="7"/>
      <c r="O1390" s="7"/>
      <c r="P1390" s="7"/>
      <c r="Q1390" s="7"/>
      <c r="R1390" s="7"/>
    </row>
    <row r="1391" spans="1:18" x14ac:dyDescent="0.2">
      <c r="A1391" s="7"/>
      <c r="B1391" s="7"/>
      <c r="C1391" s="7"/>
      <c r="D1391" s="7"/>
      <c r="E1391" s="7"/>
      <c r="F1391" s="7"/>
      <c r="G1391" s="166"/>
      <c r="H1391" s="166"/>
      <c r="I1391" s="7"/>
      <c r="J1391" s="7"/>
      <c r="K1391" s="7"/>
      <c r="L1391" s="7"/>
      <c r="M1391" s="7"/>
      <c r="N1391" s="7"/>
      <c r="O1391" s="7"/>
      <c r="P1391" s="7"/>
      <c r="Q1391" s="7"/>
      <c r="R1391" s="7"/>
    </row>
    <row r="1392" spans="1:18" x14ac:dyDescent="0.2">
      <c r="A1392" s="7"/>
      <c r="B1392" s="7"/>
      <c r="C1392" s="7"/>
      <c r="D1392" s="7"/>
      <c r="E1392" s="7"/>
      <c r="F1392" s="7"/>
      <c r="G1392" s="168"/>
      <c r="H1392" s="163"/>
      <c r="I1392" s="7"/>
      <c r="J1392" s="7"/>
      <c r="K1392" s="7"/>
      <c r="L1392" s="7"/>
      <c r="M1392" s="7"/>
      <c r="N1392" s="7"/>
      <c r="O1392" s="7"/>
      <c r="P1392" s="7"/>
      <c r="Q1392" s="7"/>
      <c r="R1392" s="7"/>
    </row>
    <row r="1393" spans="1:18" x14ac:dyDescent="0.2">
      <c r="A1393" s="7"/>
      <c r="B1393" s="7"/>
      <c r="C1393" s="7"/>
      <c r="D1393" s="7"/>
      <c r="E1393" s="7"/>
      <c r="F1393" s="7"/>
      <c r="G1393" s="37"/>
      <c r="H1393" s="37"/>
      <c r="I1393" s="7"/>
      <c r="J1393" s="7"/>
      <c r="K1393" s="7"/>
      <c r="L1393" s="7"/>
      <c r="M1393" s="7"/>
      <c r="N1393" s="7"/>
      <c r="O1393" s="7"/>
      <c r="P1393" s="7"/>
      <c r="Q1393" s="7"/>
      <c r="R1393" s="7"/>
    </row>
    <row r="1394" spans="1:18" x14ac:dyDescent="0.2">
      <c r="A1394" s="7"/>
      <c r="B1394" s="7"/>
      <c r="C1394" s="7"/>
      <c r="D1394" s="7"/>
      <c r="E1394" s="7"/>
      <c r="F1394" s="7"/>
      <c r="G1394" s="37"/>
      <c r="H1394" s="37"/>
      <c r="I1394" s="7"/>
      <c r="J1394" s="7"/>
      <c r="K1394" s="7"/>
      <c r="L1394" s="7"/>
      <c r="M1394" s="7"/>
      <c r="N1394" s="7"/>
      <c r="O1394" s="7"/>
      <c r="P1394" s="7"/>
      <c r="Q1394" s="7"/>
      <c r="R1394" s="7"/>
    </row>
    <row r="1395" spans="1:18" x14ac:dyDescent="0.2">
      <c r="A1395" s="7"/>
      <c r="B1395" s="7"/>
      <c r="C1395" s="7"/>
      <c r="D1395" s="7"/>
      <c r="E1395" s="7"/>
      <c r="F1395" s="7"/>
      <c r="G1395" s="163"/>
      <c r="H1395" s="163"/>
      <c r="I1395" s="7"/>
      <c r="J1395" s="7"/>
      <c r="K1395" s="7"/>
      <c r="L1395" s="7"/>
      <c r="M1395" s="7"/>
      <c r="N1395" s="7"/>
      <c r="O1395" s="7"/>
      <c r="P1395" s="7"/>
      <c r="Q1395" s="7"/>
      <c r="R1395" s="7"/>
    </row>
    <row r="1396" spans="1:18" x14ac:dyDescent="0.2">
      <c r="A1396" s="7"/>
      <c r="B1396" s="7"/>
      <c r="C1396" s="7"/>
      <c r="D1396" s="7"/>
      <c r="E1396" s="7"/>
      <c r="F1396" s="7"/>
      <c r="G1396" s="106"/>
      <c r="H1396" s="37"/>
      <c r="I1396" s="7"/>
      <c r="J1396" s="7"/>
      <c r="K1396" s="7"/>
      <c r="L1396" s="7"/>
      <c r="M1396" s="7"/>
      <c r="N1396" s="7"/>
      <c r="O1396" s="7"/>
      <c r="P1396" s="7"/>
      <c r="Q1396" s="7"/>
      <c r="R1396" s="7"/>
    </row>
    <row r="1397" spans="1:18" x14ac:dyDescent="0.2">
      <c r="A1397" s="7"/>
      <c r="B1397" s="7"/>
      <c r="C1397" s="7"/>
      <c r="D1397" s="7"/>
      <c r="E1397" s="7"/>
      <c r="F1397" s="7"/>
      <c r="G1397" s="106"/>
      <c r="H1397" s="37"/>
      <c r="I1397" s="7"/>
      <c r="J1397" s="7"/>
      <c r="K1397" s="7"/>
      <c r="L1397" s="7"/>
      <c r="M1397" s="7"/>
      <c r="N1397" s="7"/>
      <c r="O1397" s="7"/>
      <c r="P1397" s="7"/>
      <c r="Q1397" s="7"/>
      <c r="R1397" s="7"/>
    </row>
    <row r="1398" spans="1:18" x14ac:dyDescent="0.2">
      <c r="A1398" s="7"/>
      <c r="B1398" s="7"/>
      <c r="C1398" s="7"/>
      <c r="D1398" s="7"/>
      <c r="E1398" s="7"/>
      <c r="F1398" s="7"/>
      <c r="G1398" s="106"/>
      <c r="H1398" s="37"/>
      <c r="I1398" s="7"/>
      <c r="J1398" s="7"/>
      <c r="K1398" s="7"/>
      <c r="L1398" s="7"/>
      <c r="M1398" s="7"/>
      <c r="N1398" s="7"/>
      <c r="O1398" s="7"/>
      <c r="P1398" s="7"/>
      <c r="Q1398" s="7"/>
      <c r="R1398" s="7"/>
    </row>
    <row r="1399" spans="1:18" x14ac:dyDescent="0.2">
      <c r="A1399" s="7"/>
      <c r="B1399" s="7"/>
      <c r="C1399" s="7"/>
      <c r="D1399" s="7"/>
      <c r="E1399" s="7"/>
      <c r="F1399" s="7"/>
      <c r="G1399" s="106"/>
      <c r="H1399" s="37"/>
      <c r="I1399" s="7"/>
      <c r="J1399" s="7"/>
      <c r="K1399" s="7"/>
      <c r="L1399" s="7"/>
      <c r="M1399" s="7"/>
      <c r="N1399" s="7"/>
      <c r="O1399" s="7"/>
      <c r="P1399" s="7"/>
      <c r="Q1399" s="7"/>
      <c r="R1399" s="7"/>
    </row>
    <row r="1400" spans="1:18" x14ac:dyDescent="0.2">
      <c r="A1400" s="7"/>
      <c r="B1400" s="7"/>
      <c r="C1400" s="7"/>
      <c r="D1400" s="7"/>
      <c r="E1400" s="7"/>
      <c r="F1400" s="7"/>
      <c r="G1400" s="106"/>
      <c r="H1400" s="37"/>
      <c r="I1400" s="7"/>
      <c r="J1400" s="7"/>
      <c r="K1400" s="7"/>
      <c r="L1400" s="7"/>
      <c r="M1400" s="7"/>
      <c r="N1400" s="7"/>
      <c r="O1400" s="7"/>
      <c r="P1400" s="7"/>
      <c r="Q1400" s="7"/>
      <c r="R1400" s="7"/>
    </row>
    <row r="1401" spans="1:18" x14ac:dyDescent="0.2">
      <c r="A1401" s="7"/>
      <c r="B1401" s="7"/>
      <c r="C1401" s="7"/>
      <c r="D1401" s="7"/>
      <c r="E1401" s="7"/>
      <c r="F1401" s="7"/>
      <c r="G1401" s="106"/>
      <c r="H1401" s="37"/>
      <c r="I1401" s="7"/>
      <c r="J1401" s="7"/>
      <c r="K1401" s="7"/>
      <c r="L1401" s="7"/>
      <c r="M1401" s="7"/>
      <c r="N1401" s="7"/>
      <c r="O1401" s="7"/>
      <c r="P1401" s="7"/>
      <c r="Q1401" s="7"/>
      <c r="R1401" s="7"/>
    </row>
    <row r="1402" spans="1:18" x14ac:dyDescent="0.2">
      <c r="A1402" s="7"/>
      <c r="B1402" s="7"/>
      <c r="C1402" s="7"/>
      <c r="D1402" s="7"/>
      <c r="E1402" s="7"/>
      <c r="F1402" s="7"/>
      <c r="G1402" s="106"/>
      <c r="H1402" s="37"/>
      <c r="I1402" s="7"/>
      <c r="J1402" s="7"/>
      <c r="K1402" s="7"/>
      <c r="L1402" s="7"/>
      <c r="M1402" s="7"/>
      <c r="N1402" s="7"/>
      <c r="O1402" s="7"/>
      <c r="P1402" s="7"/>
      <c r="Q1402" s="7"/>
      <c r="R1402" s="7"/>
    </row>
    <row r="1403" spans="1:18" x14ac:dyDescent="0.2">
      <c r="A1403" s="7"/>
      <c r="B1403" s="7"/>
      <c r="C1403" s="7"/>
      <c r="D1403" s="7"/>
      <c r="E1403" s="7"/>
      <c r="F1403" s="7"/>
      <c r="G1403" s="106"/>
      <c r="H1403" s="37"/>
      <c r="I1403" s="7"/>
      <c r="J1403" s="7"/>
      <c r="K1403" s="7"/>
      <c r="L1403" s="7"/>
      <c r="M1403" s="7"/>
      <c r="N1403" s="7"/>
      <c r="O1403" s="7"/>
      <c r="P1403" s="7"/>
      <c r="Q1403" s="7"/>
      <c r="R1403" s="7"/>
    </row>
    <row r="1404" spans="1:18" x14ac:dyDescent="0.2">
      <c r="A1404" s="7"/>
      <c r="B1404" s="7"/>
      <c r="C1404" s="7"/>
      <c r="D1404" s="7"/>
      <c r="E1404" s="7"/>
      <c r="F1404" s="7"/>
      <c r="G1404" s="106"/>
      <c r="H1404" s="37"/>
      <c r="I1404" s="7"/>
      <c r="J1404" s="7"/>
      <c r="K1404" s="7"/>
      <c r="L1404" s="7"/>
      <c r="M1404" s="7"/>
      <c r="N1404" s="7"/>
      <c r="O1404" s="7"/>
      <c r="P1404" s="7"/>
      <c r="Q1404" s="7"/>
      <c r="R1404" s="7"/>
    </row>
    <row r="1405" spans="1:18" x14ac:dyDescent="0.2">
      <c r="A1405" s="7"/>
      <c r="B1405" s="7"/>
      <c r="C1405" s="7"/>
      <c r="D1405" s="7"/>
      <c r="E1405" s="7"/>
      <c r="F1405" s="7"/>
      <c r="G1405" s="106"/>
      <c r="H1405" s="37"/>
      <c r="I1405" s="7"/>
      <c r="J1405" s="7"/>
      <c r="K1405" s="7"/>
      <c r="L1405" s="7"/>
      <c r="M1405" s="7"/>
      <c r="N1405" s="7"/>
      <c r="O1405" s="7"/>
      <c r="P1405" s="7"/>
      <c r="Q1405" s="7"/>
      <c r="R1405" s="7"/>
    </row>
    <row r="1406" spans="1:18" x14ac:dyDescent="0.2">
      <c r="A1406" s="7"/>
      <c r="B1406" s="7"/>
      <c r="C1406" s="7"/>
      <c r="D1406" s="7"/>
      <c r="E1406" s="7"/>
      <c r="F1406" s="7"/>
      <c r="G1406" s="106"/>
      <c r="H1406" s="37"/>
      <c r="I1406" s="7"/>
      <c r="J1406" s="7"/>
      <c r="K1406" s="7"/>
      <c r="L1406" s="7"/>
      <c r="M1406" s="7"/>
      <c r="N1406" s="7"/>
      <c r="O1406" s="7"/>
      <c r="P1406" s="7"/>
      <c r="Q1406" s="7"/>
      <c r="R1406" s="7"/>
    </row>
    <row r="1407" spans="1:18" x14ac:dyDescent="0.2">
      <c r="A1407" s="7"/>
      <c r="B1407" s="7"/>
      <c r="C1407" s="7"/>
      <c r="D1407" s="7"/>
      <c r="E1407" s="7"/>
      <c r="F1407" s="7"/>
      <c r="G1407" s="106"/>
      <c r="H1407" s="37"/>
      <c r="I1407" s="7"/>
      <c r="J1407" s="7"/>
      <c r="K1407" s="7"/>
      <c r="L1407" s="7"/>
      <c r="M1407" s="7"/>
      <c r="N1407" s="7"/>
      <c r="O1407" s="7"/>
      <c r="P1407" s="7"/>
      <c r="Q1407" s="7"/>
      <c r="R1407" s="7"/>
    </row>
    <row r="1408" spans="1:18" x14ac:dyDescent="0.2">
      <c r="A1408" s="7"/>
      <c r="B1408" s="7"/>
      <c r="C1408" s="7"/>
      <c r="D1408" s="7"/>
      <c r="E1408" s="7"/>
      <c r="F1408" s="7"/>
      <c r="G1408" s="106"/>
      <c r="H1408" s="37"/>
      <c r="I1408" s="7"/>
      <c r="J1408" s="7"/>
      <c r="K1408" s="7"/>
      <c r="L1408" s="7"/>
      <c r="M1408" s="7"/>
      <c r="N1408" s="7"/>
      <c r="O1408" s="7"/>
      <c r="P1408" s="7"/>
      <c r="Q1408" s="7"/>
      <c r="R1408" s="7"/>
    </row>
    <row r="1409" spans="1:18" x14ac:dyDescent="0.2">
      <c r="A1409" s="7"/>
      <c r="B1409" s="7"/>
      <c r="C1409" s="7"/>
      <c r="D1409" s="7"/>
      <c r="E1409" s="7"/>
      <c r="F1409" s="7"/>
      <c r="G1409" s="106"/>
      <c r="H1409" s="37"/>
      <c r="I1409" s="7"/>
      <c r="J1409" s="7"/>
      <c r="K1409" s="7"/>
      <c r="L1409" s="7"/>
      <c r="M1409" s="7"/>
      <c r="N1409" s="7"/>
      <c r="O1409" s="7"/>
      <c r="P1409" s="7"/>
      <c r="Q1409" s="7"/>
      <c r="R1409" s="7"/>
    </row>
    <row r="1410" spans="1:18" x14ac:dyDescent="0.2">
      <c r="A1410" s="7"/>
      <c r="B1410" s="7"/>
      <c r="C1410" s="7"/>
      <c r="D1410" s="7"/>
      <c r="E1410" s="7"/>
      <c r="F1410" s="7"/>
      <c r="G1410" s="106"/>
      <c r="H1410" s="37"/>
      <c r="I1410" s="7"/>
      <c r="J1410" s="7"/>
      <c r="K1410" s="7"/>
      <c r="L1410" s="7"/>
      <c r="M1410" s="7"/>
      <c r="N1410" s="7"/>
      <c r="O1410" s="7"/>
      <c r="P1410" s="7"/>
      <c r="Q1410" s="7"/>
      <c r="R1410" s="7"/>
    </row>
    <row r="1411" spans="1:18" x14ac:dyDescent="0.2">
      <c r="A1411" s="7"/>
      <c r="B1411" s="7"/>
      <c r="C1411" s="7"/>
      <c r="D1411" s="7"/>
      <c r="E1411" s="7"/>
      <c r="F1411" s="7"/>
      <c r="G1411" s="106"/>
      <c r="H1411" s="37"/>
      <c r="I1411" s="7"/>
      <c r="J1411" s="7"/>
      <c r="K1411" s="7"/>
      <c r="L1411" s="7"/>
      <c r="M1411" s="7"/>
      <c r="N1411" s="7"/>
      <c r="O1411" s="7"/>
      <c r="P1411" s="7"/>
      <c r="Q1411" s="7"/>
      <c r="R1411" s="7"/>
    </row>
    <row r="1412" spans="1:18" x14ac:dyDescent="0.2">
      <c r="A1412" s="7"/>
      <c r="B1412" s="7"/>
      <c r="C1412" s="7"/>
      <c r="D1412" s="7"/>
      <c r="E1412" s="7"/>
      <c r="F1412" s="7"/>
      <c r="G1412" s="106"/>
      <c r="H1412" s="37"/>
      <c r="I1412" s="7"/>
      <c r="J1412" s="7"/>
      <c r="K1412" s="7"/>
      <c r="L1412" s="7"/>
      <c r="M1412" s="7"/>
      <c r="N1412" s="7"/>
      <c r="O1412" s="7"/>
      <c r="P1412" s="7"/>
      <c r="Q1412" s="7"/>
      <c r="R1412" s="7"/>
    </row>
    <row r="1413" spans="1:18" x14ac:dyDescent="0.2">
      <c r="A1413" s="7"/>
      <c r="B1413" s="7"/>
      <c r="C1413" s="7"/>
      <c r="D1413" s="7"/>
      <c r="E1413" s="7"/>
      <c r="F1413" s="7"/>
      <c r="G1413" s="106"/>
      <c r="H1413" s="37"/>
      <c r="I1413" s="7"/>
      <c r="J1413" s="7"/>
      <c r="K1413" s="7"/>
      <c r="L1413" s="7"/>
      <c r="M1413" s="7"/>
      <c r="N1413" s="7"/>
      <c r="O1413" s="7"/>
      <c r="P1413" s="7"/>
      <c r="Q1413" s="7"/>
      <c r="R1413" s="7"/>
    </row>
    <row r="1414" spans="1:18" x14ac:dyDescent="0.2">
      <c r="A1414" s="7"/>
      <c r="B1414" s="7"/>
      <c r="C1414" s="7"/>
      <c r="D1414" s="7"/>
      <c r="E1414" s="7"/>
      <c r="F1414" s="7"/>
      <c r="G1414" s="106"/>
      <c r="H1414" s="37"/>
      <c r="I1414" s="7"/>
      <c r="J1414" s="7"/>
      <c r="K1414" s="7"/>
      <c r="L1414" s="7"/>
      <c r="M1414" s="7"/>
      <c r="N1414" s="7"/>
      <c r="O1414" s="7"/>
      <c r="P1414" s="7"/>
      <c r="Q1414" s="7"/>
      <c r="R1414" s="7"/>
    </row>
    <row r="1415" spans="1:18" x14ac:dyDescent="0.2">
      <c r="A1415" s="7"/>
      <c r="B1415" s="7"/>
      <c r="C1415" s="7"/>
      <c r="D1415" s="7"/>
      <c r="E1415" s="7"/>
      <c r="F1415" s="7"/>
      <c r="G1415" s="106"/>
      <c r="H1415" s="37"/>
      <c r="I1415" s="7"/>
      <c r="J1415" s="7"/>
      <c r="K1415" s="7"/>
      <c r="L1415" s="7"/>
      <c r="M1415" s="7"/>
      <c r="N1415" s="7"/>
      <c r="O1415" s="7"/>
      <c r="P1415" s="7"/>
      <c r="Q1415" s="7"/>
      <c r="R1415" s="7"/>
    </row>
    <row r="1416" spans="1:18" x14ac:dyDescent="0.2">
      <c r="A1416" s="7"/>
      <c r="B1416" s="7"/>
      <c r="C1416" s="7"/>
      <c r="D1416" s="7"/>
      <c r="E1416" s="7"/>
      <c r="F1416" s="7"/>
      <c r="G1416" s="106"/>
      <c r="H1416" s="37"/>
      <c r="I1416" s="7"/>
      <c r="J1416" s="7"/>
      <c r="K1416" s="7"/>
      <c r="L1416" s="7"/>
      <c r="M1416" s="7"/>
      <c r="N1416" s="7"/>
      <c r="O1416" s="7"/>
      <c r="P1416" s="7"/>
      <c r="Q1416" s="7"/>
      <c r="R1416" s="7"/>
    </row>
    <row r="1417" spans="1:18" x14ac:dyDescent="0.2">
      <c r="A1417" s="7"/>
      <c r="B1417" s="7"/>
      <c r="C1417" s="7"/>
      <c r="D1417" s="7"/>
      <c r="E1417" s="7"/>
      <c r="F1417" s="7"/>
      <c r="G1417" s="106"/>
      <c r="H1417" s="37"/>
      <c r="I1417" s="7"/>
      <c r="J1417" s="7"/>
      <c r="K1417" s="7"/>
      <c r="L1417" s="7"/>
      <c r="M1417" s="7"/>
      <c r="N1417" s="7"/>
      <c r="O1417" s="7"/>
      <c r="P1417" s="7"/>
      <c r="Q1417" s="7"/>
      <c r="R1417" s="7"/>
    </row>
    <row r="1418" spans="1:18" x14ac:dyDescent="0.2">
      <c r="A1418" s="7"/>
      <c r="B1418" s="7"/>
      <c r="C1418" s="7"/>
      <c r="D1418" s="7"/>
      <c r="E1418" s="7"/>
      <c r="F1418" s="7"/>
      <c r="G1418" s="106"/>
      <c r="H1418" s="37"/>
      <c r="I1418" s="7"/>
      <c r="J1418" s="7"/>
      <c r="K1418" s="7"/>
      <c r="L1418" s="7"/>
      <c r="M1418" s="7"/>
      <c r="N1418" s="7"/>
      <c r="O1418" s="7"/>
      <c r="P1418" s="7"/>
      <c r="Q1418" s="7"/>
      <c r="R1418" s="7"/>
    </row>
    <row r="1419" spans="1:18" x14ac:dyDescent="0.2">
      <c r="A1419" s="7"/>
      <c r="B1419" s="7"/>
      <c r="C1419" s="7"/>
      <c r="D1419" s="7"/>
      <c r="E1419" s="7"/>
      <c r="F1419" s="7"/>
      <c r="G1419" s="106"/>
      <c r="H1419" s="37"/>
      <c r="I1419" s="7"/>
      <c r="J1419" s="7"/>
      <c r="K1419" s="7"/>
      <c r="L1419" s="7"/>
      <c r="M1419" s="7"/>
      <c r="N1419" s="7"/>
      <c r="O1419" s="7"/>
      <c r="P1419" s="7"/>
      <c r="Q1419" s="7"/>
      <c r="R1419" s="7"/>
    </row>
    <row r="1420" spans="1:18" x14ac:dyDescent="0.2">
      <c r="A1420" s="7"/>
      <c r="B1420" s="7"/>
      <c r="C1420" s="7"/>
      <c r="D1420" s="7"/>
      <c r="E1420" s="7"/>
      <c r="F1420" s="7"/>
      <c r="G1420" s="106"/>
      <c r="H1420" s="37"/>
      <c r="I1420" s="7"/>
      <c r="J1420" s="7"/>
      <c r="K1420" s="7"/>
      <c r="L1420" s="7"/>
      <c r="M1420" s="7"/>
      <c r="N1420" s="7"/>
      <c r="O1420" s="7"/>
      <c r="P1420" s="7"/>
      <c r="Q1420" s="7"/>
      <c r="R1420" s="7"/>
    </row>
    <row r="1421" spans="1:18" x14ac:dyDescent="0.2">
      <c r="A1421" s="7"/>
      <c r="B1421" s="7"/>
      <c r="C1421" s="7"/>
      <c r="D1421" s="7"/>
      <c r="E1421" s="7"/>
      <c r="F1421" s="7"/>
      <c r="G1421" s="106"/>
      <c r="H1421" s="37"/>
      <c r="I1421" s="7"/>
      <c r="J1421" s="7"/>
      <c r="K1421" s="7"/>
      <c r="L1421" s="7"/>
      <c r="M1421" s="7"/>
      <c r="N1421" s="7"/>
      <c r="O1421" s="7"/>
      <c r="P1421" s="7"/>
      <c r="Q1421" s="7"/>
      <c r="R1421" s="7"/>
    </row>
    <row r="1422" spans="1:18" x14ac:dyDescent="0.2">
      <c r="A1422" s="7"/>
      <c r="B1422" s="7"/>
      <c r="C1422" s="7"/>
      <c r="D1422" s="7"/>
      <c r="E1422" s="7"/>
      <c r="F1422" s="7"/>
      <c r="G1422" s="106"/>
      <c r="H1422" s="37"/>
      <c r="I1422" s="7"/>
      <c r="J1422" s="7"/>
      <c r="K1422" s="7"/>
      <c r="L1422" s="7"/>
      <c r="M1422" s="7"/>
      <c r="N1422" s="7"/>
      <c r="O1422" s="7"/>
      <c r="P1422" s="7"/>
      <c r="Q1422" s="7"/>
      <c r="R1422" s="7"/>
    </row>
    <row r="1423" spans="1:18" x14ac:dyDescent="0.2">
      <c r="A1423" s="7"/>
      <c r="B1423" s="7"/>
      <c r="C1423" s="7"/>
      <c r="D1423" s="7"/>
      <c r="E1423" s="7"/>
      <c r="F1423" s="7"/>
      <c r="G1423" s="106"/>
      <c r="H1423" s="37"/>
      <c r="I1423" s="7"/>
      <c r="J1423" s="7"/>
      <c r="K1423" s="7"/>
      <c r="L1423" s="7"/>
      <c r="M1423" s="7"/>
      <c r="N1423" s="7"/>
      <c r="O1423" s="7"/>
      <c r="P1423" s="7"/>
      <c r="Q1423" s="7"/>
      <c r="R1423" s="7"/>
    </row>
    <row r="1424" spans="1:18" x14ac:dyDescent="0.2">
      <c r="A1424" s="7"/>
      <c r="B1424" s="7"/>
      <c r="C1424" s="7"/>
      <c r="D1424" s="7"/>
      <c r="E1424" s="7"/>
      <c r="F1424" s="7"/>
      <c r="G1424" s="106"/>
      <c r="H1424" s="37"/>
      <c r="I1424" s="7"/>
      <c r="J1424" s="7"/>
      <c r="K1424" s="7"/>
      <c r="L1424" s="7"/>
      <c r="M1424" s="7"/>
      <c r="N1424" s="7"/>
      <c r="O1424" s="7"/>
      <c r="P1424" s="7"/>
      <c r="Q1424" s="7"/>
      <c r="R1424" s="7"/>
    </row>
    <row r="1425" spans="1:18" x14ac:dyDescent="0.2">
      <c r="A1425" s="7"/>
      <c r="B1425" s="7"/>
      <c r="C1425" s="7"/>
      <c r="D1425" s="7"/>
      <c r="E1425" s="7"/>
      <c r="F1425" s="7"/>
      <c r="G1425" s="163"/>
      <c r="H1425" s="163"/>
      <c r="I1425" s="7"/>
      <c r="J1425" s="7"/>
      <c r="K1425" s="7"/>
      <c r="L1425" s="7"/>
      <c r="M1425" s="7"/>
      <c r="N1425" s="7"/>
      <c r="O1425" s="7"/>
      <c r="P1425" s="7"/>
      <c r="Q1425" s="7"/>
      <c r="R1425" s="7"/>
    </row>
    <row r="1426" spans="1:18" x14ac:dyDescent="0.2">
      <c r="A1426" s="7"/>
      <c r="B1426" s="7"/>
      <c r="C1426" s="7"/>
      <c r="D1426" s="7"/>
      <c r="E1426" s="7"/>
      <c r="F1426" s="7"/>
      <c r="G1426" s="106"/>
      <c r="H1426" s="37"/>
      <c r="I1426" s="7"/>
      <c r="J1426" s="7"/>
      <c r="K1426" s="7"/>
      <c r="L1426" s="7"/>
      <c r="M1426" s="7"/>
      <c r="N1426" s="7"/>
      <c r="O1426" s="7"/>
      <c r="P1426" s="7"/>
      <c r="Q1426" s="7"/>
      <c r="R1426" s="7"/>
    </row>
    <row r="1427" spans="1:18" x14ac:dyDescent="0.2">
      <c r="A1427" s="7"/>
      <c r="B1427" s="7"/>
      <c r="C1427" s="7"/>
      <c r="D1427" s="7"/>
      <c r="E1427" s="7"/>
      <c r="F1427" s="7"/>
      <c r="G1427" s="163"/>
      <c r="H1427" s="163"/>
      <c r="I1427" s="7"/>
      <c r="J1427" s="7"/>
      <c r="K1427" s="7"/>
      <c r="L1427" s="7"/>
      <c r="M1427" s="7"/>
      <c r="N1427" s="7"/>
      <c r="O1427" s="7"/>
      <c r="P1427" s="7"/>
      <c r="Q1427" s="7"/>
      <c r="R1427" s="7"/>
    </row>
    <row r="1428" spans="1:18" x14ac:dyDescent="0.2">
      <c r="A1428" s="7"/>
      <c r="B1428" s="7"/>
      <c r="C1428" s="7"/>
      <c r="D1428" s="7"/>
      <c r="E1428" s="7"/>
      <c r="F1428" s="7"/>
      <c r="G1428" s="37"/>
      <c r="H1428" s="37"/>
      <c r="I1428" s="7"/>
      <c r="J1428" s="7"/>
      <c r="K1428" s="7"/>
      <c r="L1428" s="7"/>
      <c r="M1428" s="7"/>
      <c r="N1428" s="7"/>
      <c r="O1428" s="7"/>
      <c r="P1428" s="7"/>
      <c r="Q1428" s="7"/>
      <c r="R1428" s="7"/>
    </row>
    <row r="1429" spans="1:18" x14ac:dyDescent="0.2">
      <c r="A1429" s="7"/>
      <c r="B1429" s="7"/>
      <c r="C1429" s="7"/>
      <c r="D1429" s="7"/>
      <c r="E1429" s="7"/>
      <c r="F1429" s="7"/>
      <c r="G1429" s="166"/>
      <c r="H1429" s="166"/>
      <c r="I1429" s="7"/>
      <c r="J1429" s="7"/>
      <c r="K1429" s="7"/>
      <c r="L1429" s="7"/>
      <c r="M1429" s="7"/>
      <c r="N1429" s="7"/>
      <c r="O1429" s="7"/>
      <c r="P1429" s="7"/>
      <c r="Q1429" s="7"/>
      <c r="R1429" s="7"/>
    </row>
    <row r="1430" spans="1:18" ht="19.5" x14ac:dyDescent="0.2">
      <c r="A1430" s="7"/>
      <c r="B1430" s="7"/>
      <c r="C1430" s="7"/>
      <c r="D1430" s="7"/>
      <c r="E1430" s="7"/>
      <c r="F1430" s="7"/>
      <c r="G1430" s="167"/>
      <c r="H1430" s="166"/>
      <c r="I1430" s="7"/>
      <c r="J1430" s="7"/>
      <c r="K1430" s="7"/>
      <c r="L1430" s="7"/>
      <c r="M1430" s="7"/>
      <c r="N1430" s="7"/>
      <c r="O1430" s="7"/>
      <c r="P1430" s="7"/>
      <c r="Q1430" s="7"/>
      <c r="R1430" s="7"/>
    </row>
    <row r="1431" spans="1:18" x14ac:dyDescent="0.2">
      <c r="A1431" s="7"/>
      <c r="B1431" s="7"/>
      <c r="C1431" s="7"/>
      <c r="D1431" s="7"/>
      <c r="E1431" s="7"/>
      <c r="F1431" s="7"/>
      <c r="G1431" s="163"/>
      <c r="H1431" s="163"/>
      <c r="I1431" s="7"/>
      <c r="J1431" s="7"/>
      <c r="K1431" s="7"/>
      <c r="L1431" s="7"/>
      <c r="M1431" s="7"/>
      <c r="N1431" s="7"/>
      <c r="O1431" s="7"/>
      <c r="P1431" s="7"/>
      <c r="Q1431" s="7"/>
      <c r="R1431" s="7"/>
    </row>
    <row r="1432" spans="1:18" x14ac:dyDescent="0.2">
      <c r="A1432" s="7"/>
      <c r="B1432" s="7"/>
      <c r="C1432" s="7"/>
      <c r="D1432" s="7"/>
      <c r="E1432" s="7"/>
      <c r="F1432" s="7"/>
      <c r="G1432" s="37"/>
      <c r="H1432" s="37"/>
      <c r="I1432" s="7"/>
      <c r="J1432" s="7"/>
      <c r="K1432" s="7"/>
      <c r="L1432" s="7"/>
      <c r="M1432" s="7"/>
      <c r="N1432" s="7"/>
      <c r="O1432" s="7"/>
      <c r="P1432" s="7"/>
      <c r="Q1432" s="7"/>
      <c r="R1432" s="7"/>
    </row>
    <row r="1433" spans="1:18" x14ac:dyDescent="0.2">
      <c r="A1433" s="7"/>
      <c r="B1433" s="7"/>
      <c r="C1433" s="7"/>
      <c r="D1433" s="7"/>
      <c r="E1433" s="7"/>
      <c r="F1433" s="7"/>
      <c r="G1433" s="166"/>
      <c r="H1433" s="166"/>
      <c r="I1433" s="7"/>
      <c r="J1433" s="7"/>
      <c r="K1433" s="7"/>
      <c r="L1433" s="7"/>
      <c r="M1433" s="7"/>
      <c r="N1433" s="7"/>
      <c r="O1433" s="7"/>
      <c r="P1433" s="7"/>
      <c r="Q1433" s="7"/>
      <c r="R1433" s="7"/>
    </row>
    <row r="1434" spans="1:18" ht="19.5" x14ac:dyDescent="0.2">
      <c r="A1434" s="7"/>
      <c r="B1434" s="7"/>
      <c r="C1434" s="7"/>
      <c r="D1434" s="7"/>
      <c r="E1434" s="7"/>
      <c r="F1434" s="7"/>
      <c r="G1434" s="167"/>
      <c r="H1434" s="166"/>
      <c r="I1434" s="7"/>
      <c r="J1434" s="7"/>
      <c r="K1434" s="7"/>
      <c r="L1434" s="7"/>
      <c r="M1434" s="7"/>
      <c r="N1434" s="7"/>
      <c r="O1434" s="7"/>
      <c r="P1434" s="7"/>
      <c r="Q1434" s="7"/>
      <c r="R1434" s="7"/>
    </row>
    <row r="1435" spans="1:18" x14ac:dyDescent="0.2">
      <c r="A1435" s="7"/>
      <c r="B1435" s="7"/>
      <c r="C1435" s="7"/>
      <c r="D1435" s="7"/>
      <c r="E1435" s="7"/>
      <c r="F1435" s="7"/>
      <c r="G1435" s="163"/>
      <c r="H1435" s="163"/>
      <c r="I1435" s="7"/>
      <c r="J1435" s="7"/>
      <c r="K1435" s="7"/>
      <c r="L1435" s="7"/>
      <c r="M1435" s="7"/>
      <c r="N1435" s="7"/>
      <c r="O1435" s="7"/>
      <c r="P1435" s="7"/>
      <c r="Q1435" s="7"/>
      <c r="R1435" s="7"/>
    </row>
    <row r="1436" spans="1:18" x14ac:dyDescent="0.2">
      <c r="A1436" s="7"/>
      <c r="B1436" s="7"/>
      <c r="C1436" s="7"/>
      <c r="D1436" s="7"/>
      <c r="E1436" s="7"/>
      <c r="F1436" s="7"/>
      <c r="G1436" s="37"/>
      <c r="H1436" s="37"/>
      <c r="I1436" s="7"/>
      <c r="J1436" s="7"/>
      <c r="K1436" s="7"/>
      <c r="L1436" s="7"/>
      <c r="M1436" s="7"/>
      <c r="N1436" s="7"/>
      <c r="O1436" s="7"/>
      <c r="P1436" s="7"/>
      <c r="Q1436" s="7"/>
      <c r="R1436" s="7"/>
    </row>
    <row r="1437" spans="1:18" x14ac:dyDescent="0.2">
      <c r="A1437" s="7"/>
      <c r="B1437" s="7"/>
      <c r="C1437" s="7"/>
      <c r="D1437" s="7"/>
      <c r="E1437" s="7"/>
      <c r="F1437" s="7"/>
      <c r="G1437" s="166"/>
      <c r="H1437" s="166"/>
      <c r="I1437" s="7"/>
      <c r="J1437" s="7"/>
      <c r="K1437" s="7"/>
      <c r="L1437" s="7"/>
      <c r="M1437" s="7"/>
      <c r="N1437" s="7"/>
      <c r="O1437" s="7"/>
      <c r="P1437" s="7"/>
      <c r="Q1437" s="7"/>
      <c r="R1437" s="7"/>
    </row>
    <row r="1438" spans="1:18" ht="19.5" x14ac:dyDescent="0.2">
      <c r="A1438" s="7"/>
      <c r="B1438" s="7"/>
      <c r="C1438" s="7"/>
      <c r="D1438" s="7"/>
      <c r="E1438" s="7"/>
      <c r="F1438" s="7"/>
      <c r="G1438" s="167"/>
      <c r="H1438" s="166"/>
      <c r="I1438" s="7"/>
      <c r="J1438" s="7"/>
      <c r="K1438" s="7"/>
      <c r="L1438" s="7"/>
      <c r="M1438" s="7"/>
      <c r="N1438" s="7"/>
      <c r="O1438" s="7"/>
      <c r="P1438" s="7"/>
      <c r="Q1438" s="7"/>
      <c r="R1438" s="7"/>
    </row>
    <row r="1439" spans="1:18" x14ac:dyDescent="0.2">
      <c r="A1439" s="7"/>
      <c r="B1439" s="7"/>
      <c r="C1439" s="7"/>
      <c r="D1439" s="7"/>
      <c r="E1439" s="7"/>
      <c r="F1439" s="7"/>
      <c r="G1439" s="163"/>
      <c r="H1439" s="163"/>
      <c r="I1439" s="7"/>
      <c r="J1439" s="7"/>
      <c r="K1439" s="7"/>
      <c r="L1439" s="7"/>
      <c r="M1439" s="7"/>
      <c r="N1439" s="7"/>
      <c r="O1439" s="7"/>
      <c r="P1439" s="7"/>
      <c r="Q1439" s="7"/>
      <c r="R1439" s="7"/>
    </row>
    <row r="1440" spans="1:18" x14ac:dyDescent="0.2">
      <c r="A1440" s="7"/>
      <c r="B1440" s="7"/>
      <c r="C1440" s="7"/>
      <c r="D1440" s="7"/>
      <c r="E1440" s="7"/>
      <c r="F1440" s="7"/>
      <c r="G1440" s="37"/>
      <c r="H1440" s="37"/>
      <c r="I1440" s="7"/>
      <c r="J1440" s="7"/>
      <c r="K1440" s="7"/>
      <c r="L1440" s="7"/>
      <c r="M1440" s="7"/>
      <c r="N1440" s="7"/>
      <c r="O1440" s="7"/>
      <c r="P1440" s="7"/>
      <c r="Q1440" s="7"/>
      <c r="R1440" s="7"/>
    </row>
    <row r="1441" spans="1:18" x14ac:dyDescent="0.2">
      <c r="A1441" s="7"/>
      <c r="B1441" s="7"/>
      <c r="C1441" s="7"/>
      <c r="D1441" s="7"/>
      <c r="E1441" s="7"/>
      <c r="F1441" s="7"/>
      <c r="G1441" s="37"/>
      <c r="H1441" s="37"/>
      <c r="I1441" s="7"/>
      <c r="J1441" s="7"/>
      <c r="K1441" s="7"/>
      <c r="L1441" s="7"/>
      <c r="M1441" s="7"/>
      <c r="N1441" s="7"/>
      <c r="O1441" s="7"/>
      <c r="P1441" s="7"/>
      <c r="Q1441" s="7"/>
      <c r="R1441" s="7"/>
    </row>
    <row r="1442" spans="1:18" x14ac:dyDescent="0.2">
      <c r="A1442" s="7"/>
      <c r="B1442" s="7"/>
      <c r="C1442" s="7"/>
      <c r="D1442" s="7"/>
      <c r="E1442" s="7"/>
      <c r="F1442" s="7"/>
      <c r="G1442" s="163"/>
      <c r="H1442" s="163"/>
      <c r="I1442" s="7"/>
      <c r="J1442" s="7"/>
      <c r="K1442" s="7"/>
      <c r="L1442" s="7"/>
      <c r="M1442" s="7"/>
      <c r="N1442" s="7"/>
      <c r="O1442" s="7"/>
      <c r="P1442" s="7"/>
      <c r="Q1442" s="7"/>
      <c r="R1442" s="7"/>
    </row>
    <row r="1443" spans="1:18" x14ac:dyDescent="0.2">
      <c r="A1443" s="7"/>
      <c r="B1443" s="7"/>
      <c r="C1443" s="7"/>
      <c r="D1443" s="7"/>
      <c r="E1443" s="7"/>
      <c r="F1443" s="7"/>
      <c r="G1443" s="37"/>
      <c r="H1443" s="37"/>
      <c r="I1443" s="7"/>
      <c r="J1443" s="7"/>
      <c r="K1443" s="7"/>
      <c r="L1443" s="7"/>
      <c r="M1443" s="7"/>
      <c r="N1443" s="7"/>
      <c r="O1443" s="7"/>
      <c r="P1443" s="7"/>
      <c r="Q1443" s="7"/>
      <c r="R1443" s="7"/>
    </row>
    <row r="1444" spans="1:18" x14ac:dyDescent="0.2">
      <c r="A1444" s="7"/>
      <c r="B1444" s="7"/>
      <c r="C1444" s="7"/>
      <c r="D1444" s="7"/>
      <c r="E1444" s="7"/>
      <c r="F1444" s="7"/>
      <c r="G1444" s="163"/>
      <c r="H1444" s="163"/>
      <c r="I1444" s="7"/>
      <c r="J1444" s="7"/>
      <c r="K1444" s="7"/>
      <c r="L1444" s="7"/>
      <c r="M1444" s="7"/>
      <c r="N1444" s="7"/>
      <c r="O1444" s="7"/>
      <c r="P1444" s="7"/>
      <c r="Q1444" s="7"/>
      <c r="R1444" s="7"/>
    </row>
    <row r="1445" spans="1:18" x14ac:dyDescent="0.2">
      <c r="A1445" s="7"/>
      <c r="B1445" s="7"/>
      <c r="C1445" s="7"/>
      <c r="D1445" s="7"/>
      <c r="E1445" s="7"/>
      <c r="F1445" s="7"/>
      <c r="G1445" s="37"/>
      <c r="H1445" s="37"/>
      <c r="I1445" s="7"/>
      <c r="J1445" s="7"/>
      <c r="K1445" s="7"/>
      <c r="L1445" s="7"/>
      <c r="M1445" s="7"/>
      <c r="N1445" s="7"/>
      <c r="O1445" s="7"/>
      <c r="P1445" s="7"/>
      <c r="Q1445" s="7"/>
      <c r="R1445" s="7"/>
    </row>
    <row r="1446" spans="1:18" x14ac:dyDescent="0.2">
      <c r="A1446" s="7"/>
      <c r="B1446" s="7"/>
      <c r="C1446" s="7"/>
      <c r="D1446" s="7"/>
      <c r="E1446" s="7"/>
      <c r="F1446" s="7"/>
      <c r="G1446" s="37"/>
      <c r="H1446" s="37"/>
      <c r="I1446" s="7"/>
      <c r="J1446" s="7"/>
      <c r="K1446" s="7"/>
      <c r="L1446" s="7"/>
      <c r="M1446" s="7"/>
      <c r="N1446" s="7"/>
      <c r="O1446" s="7"/>
      <c r="P1446" s="7"/>
      <c r="Q1446" s="7"/>
      <c r="R1446" s="7"/>
    </row>
    <row r="1447" spans="1:18" x14ac:dyDescent="0.2">
      <c r="A1447" s="7"/>
      <c r="B1447" s="7"/>
      <c r="C1447" s="7"/>
      <c r="D1447" s="7"/>
      <c r="E1447" s="7"/>
      <c r="F1447" s="7"/>
      <c r="G1447" s="37"/>
      <c r="H1447" s="37"/>
      <c r="I1447" s="7"/>
      <c r="J1447" s="7"/>
      <c r="K1447" s="7"/>
      <c r="L1447" s="7"/>
      <c r="M1447" s="7"/>
      <c r="N1447" s="7"/>
      <c r="O1447" s="7"/>
      <c r="P1447" s="7"/>
      <c r="Q1447" s="7"/>
      <c r="R1447" s="7"/>
    </row>
    <row r="1448" spans="1:18" x14ac:dyDescent="0.2">
      <c r="A1448" s="7"/>
      <c r="B1448" s="7"/>
      <c r="C1448" s="7"/>
      <c r="D1448" s="7"/>
      <c r="E1448" s="7"/>
      <c r="F1448" s="7"/>
      <c r="G1448" s="37"/>
      <c r="H1448" s="37"/>
      <c r="I1448" s="7"/>
      <c r="J1448" s="7"/>
      <c r="K1448" s="7"/>
      <c r="L1448" s="7"/>
      <c r="M1448" s="7"/>
      <c r="N1448" s="7"/>
      <c r="O1448" s="7"/>
      <c r="P1448" s="7"/>
      <c r="Q1448" s="7"/>
      <c r="R1448" s="7"/>
    </row>
    <row r="1449" spans="1:18" x14ac:dyDescent="0.2">
      <c r="A1449" s="7"/>
      <c r="B1449" s="7"/>
      <c r="C1449" s="7"/>
      <c r="D1449" s="7"/>
      <c r="E1449" s="7"/>
      <c r="F1449" s="7"/>
      <c r="G1449" s="37"/>
      <c r="H1449" s="37"/>
      <c r="I1449" s="7"/>
      <c r="J1449" s="7"/>
      <c r="K1449" s="7"/>
      <c r="L1449" s="7"/>
      <c r="M1449" s="7"/>
      <c r="N1449" s="7"/>
      <c r="O1449" s="7"/>
      <c r="P1449" s="7"/>
      <c r="Q1449" s="7"/>
      <c r="R1449" s="7"/>
    </row>
    <row r="1450" spans="1:18" x14ac:dyDescent="0.2">
      <c r="A1450" s="7"/>
      <c r="B1450" s="7"/>
      <c r="C1450" s="7"/>
      <c r="D1450" s="7"/>
      <c r="E1450" s="7"/>
      <c r="F1450" s="7"/>
      <c r="G1450" s="37"/>
      <c r="H1450" s="37"/>
      <c r="I1450" s="7"/>
      <c r="J1450" s="7"/>
      <c r="K1450" s="7"/>
      <c r="L1450" s="7"/>
      <c r="M1450" s="7"/>
      <c r="N1450" s="7"/>
      <c r="O1450" s="7"/>
      <c r="P1450" s="7"/>
      <c r="Q1450" s="7"/>
      <c r="R1450" s="7"/>
    </row>
    <row r="1451" spans="1:18" x14ac:dyDescent="0.2">
      <c r="A1451" s="7"/>
      <c r="B1451" s="7"/>
      <c r="C1451" s="7"/>
      <c r="D1451" s="7"/>
      <c r="E1451" s="7"/>
      <c r="F1451" s="7"/>
      <c r="G1451" s="37"/>
      <c r="H1451" s="37"/>
      <c r="I1451" s="7"/>
      <c r="J1451" s="7"/>
      <c r="K1451" s="7"/>
      <c r="L1451" s="7"/>
      <c r="M1451" s="7"/>
      <c r="N1451" s="7"/>
      <c r="O1451" s="7"/>
      <c r="P1451" s="7"/>
      <c r="Q1451" s="7"/>
      <c r="R1451" s="7"/>
    </row>
    <row r="1452" spans="1:18" x14ac:dyDescent="0.2">
      <c r="A1452" s="7"/>
      <c r="B1452" s="7"/>
      <c r="C1452" s="7"/>
      <c r="D1452" s="7"/>
      <c r="E1452" s="7"/>
      <c r="F1452" s="7"/>
      <c r="G1452" s="37"/>
      <c r="H1452" s="37"/>
      <c r="I1452" s="7"/>
      <c r="J1452" s="7"/>
      <c r="K1452" s="7"/>
      <c r="L1452" s="7"/>
      <c r="M1452" s="7"/>
      <c r="N1452" s="7"/>
      <c r="O1452" s="7"/>
      <c r="P1452" s="7"/>
      <c r="Q1452" s="7"/>
      <c r="R1452" s="7"/>
    </row>
    <row r="1453" spans="1:18" x14ac:dyDescent="0.2">
      <c r="A1453" s="7"/>
      <c r="B1453" s="7"/>
      <c r="C1453" s="7"/>
      <c r="D1453" s="7"/>
      <c r="E1453" s="7"/>
      <c r="F1453" s="7"/>
      <c r="G1453" s="37"/>
      <c r="H1453" s="37"/>
      <c r="I1453" s="7"/>
      <c r="J1453" s="7"/>
      <c r="K1453" s="7"/>
      <c r="L1453" s="7"/>
      <c r="M1453" s="7"/>
      <c r="N1453" s="7"/>
      <c r="O1453" s="7"/>
      <c r="P1453" s="7"/>
      <c r="Q1453" s="7"/>
      <c r="R1453" s="7"/>
    </row>
    <row r="1454" spans="1:18" x14ac:dyDescent="0.2">
      <c r="A1454" s="7"/>
      <c r="B1454" s="7"/>
      <c r="C1454" s="7"/>
      <c r="D1454" s="7"/>
      <c r="E1454" s="7"/>
      <c r="F1454" s="7"/>
      <c r="G1454" s="37"/>
      <c r="H1454" s="37"/>
      <c r="I1454" s="7"/>
      <c r="J1454" s="7"/>
      <c r="K1454" s="7"/>
      <c r="L1454" s="7"/>
      <c r="M1454" s="7"/>
      <c r="N1454" s="7"/>
      <c r="O1454" s="7"/>
      <c r="P1454" s="7"/>
      <c r="Q1454" s="7"/>
      <c r="R1454" s="7"/>
    </row>
    <row r="1455" spans="1:18" x14ac:dyDescent="0.2">
      <c r="A1455" s="7"/>
      <c r="B1455" s="7"/>
      <c r="C1455" s="7"/>
      <c r="D1455" s="7"/>
      <c r="E1455" s="7"/>
      <c r="F1455" s="7"/>
      <c r="G1455" s="37"/>
      <c r="H1455" s="37"/>
      <c r="I1455" s="7"/>
      <c r="J1455" s="7"/>
      <c r="K1455" s="7"/>
      <c r="L1455" s="7"/>
      <c r="M1455" s="7"/>
      <c r="N1455" s="7"/>
      <c r="O1455" s="7"/>
      <c r="P1455" s="7"/>
      <c r="Q1455" s="7"/>
      <c r="R1455" s="7"/>
    </row>
    <row r="1456" spans="1:18" x14ac:dyDescent="0.2">
      <c r="A1456" s="7"/>
      <c r="B1456" s="7"/>
      <c r="C1456" s="7"/>
      <c r="D1456" s="7"/>
      <c r="E1456" s="7"/>
      <c r="F1456" s="7"/>
      <c r="G1456" s="37"/>
      <c r="H1456" s="37"/>
      <c r="I1456" s="7"/>
      <c r="J1456" s="7"/>
      <c r="K1456" s="7"/>
      <c r="L1456" s="7"/>
      <c r="M1456" s="7"/>
      <c r="N1456" s="7"/>
      <c r="O1456" s="7"/>
      <c r="P1456" s="7"/>
      <c r="Q1456" s="7"/>
      <c r="R1456" s="7"/>
    </row>
    <row r="1457" spans="1:18" x14ac:dyDescent="0.2">
      <c r="A1457" s="7"/>
      <c r="B1457" s="7"/>
      <c r="C1457" s="7"/>
      <c r="D1457" s="7"/>
      <c r="E1457" s="7"/>
      <c r="F1457" s="7"/>
      <c r="G1457" s="37"/>
      <c r="H1457" s="37"/>
      <c r="I1457" s="7"/>
      <c r="J1457" s="7"/>
      <c r="K1457" s="7"/>
      <c r="L1457" s="7"/>
      <c r="M1457" s="7"/>
      <c r="N1457" s="7"/>
      <c r="O1457" s="7"/>
      <c r="P1457" s="7"/>
      <c r="Q1457" s="7"/>
      <c r="R1457" s="7"/>
    </row>
    <row r="1458" spans="1:18" x14ac:dyDescent="0.2">
      <c r="A1458" s="7"/>
      <c r="B1458" s="7"/>
      <c r="C1458" s="7"/>
      <c r="D1458" s="7"/>
      <c r="E1458" s="7"/>
      <c r="F1458" s="7"/>
      <c r="G1458" s="37"/>
      <c r="H1458" s="37"/>
      <c r="I1458" s="7"/>
      <c r="J1458" s="7"/>
      <c r="K1458" s="7"/>
      <c r="L1458" s="7"/>
      <c r="M1458" s="7"/>
      <c r="N1458" s="7"/>
      <c r="O1458" s="7"/>
      <c r="P1458" s="7"/>
      <c r="Q1458" s="7"/>
      <c r="R1458" s="7"/>
    </row>
    <row r="1459" spans="1:18" x14ac:dyDescent="0.2">
      <c r="A1459" s="7"/>
      <c r="B1459" s="7"/>
      <c r="C1459" s="7"/>
      <c r="D1459" s="7"/>
      <c r="E1459" s="7"/>
      <c r="F1459" s="7"/>
      <c r="G1459" s="37"/>
      <c r="H1459" s="37"/>
      <c r="I1459" s="7"/>
      <c r="J1459" s="7"/>
      <c r="K1459" s="7"/>
      <c r="L1459" s="7"/>
      <c r="M1459" s="7"/>
      <c r="N1459" s="7"/>
      <c r="O1459" s="7"/>
      <c r="P1459" s="7"/>
      <c r="Q1459" s="7"/>
      <c r="R1459" s="7"/>
    </row>
    <row r="1460" spans="1:18" x14ac:dyDescent="0.2">
      <c r="A1460" s="7"/>
      <c r="B1460" s="7"/>
      <c r="C1460" s="7"/>
      <c r="D1460" s="7"/>
      <c r="E1460" s="7"/>
      <c r="F1460" s="7"/>
      <c r="G1460" s="106"/>
      <c r="H1460" s="37"/>
      <c r="I1460" s="7"/>
      <c r="J1460" s="7"/>
      <c r="K1460" s="7"/>
      <c r="L1460" s="7"/>
      <c r="M1460" s="7"/>
      <c r="N1460" s="7"/>
      <c r="O1460" s="7"/>
      <c r="P1460" s="7"/>
      <c r="Q1460" s="7"/>
      <c r="R1460" s="7"/>
    </row>
    <row r="1461" spans="1:18" x14ac:dyDescent="0.2">
      <c r="A1461" s="7"/>
      <c r="B1461" s="7"/>
      <c r="C1461" s="7"/>
      <c r="D1461" s="7"/>
      <c r="E1461" s="7"/>
      <c r="F1461" s="7"/>
      <c r="G1461" s="106"/>
      <c r="H1461" s="37"/>
      <c r="I1461" s="7"/>
      <c r="J1461" s="7"/>
      <c r="K1461" s="7"/>
      <c r="L1461" s="7"/>
      <c r="M1461" s="7"/>
      <c r="N1461" s="7"/>
      <c r="O1461" s="7"/>
      <c r="P1461" s="7"/>
      <c r="Q1461" s="7"/>
      <c r="R1461" s="7"/>
    </row>
    <row r="1462" spans="1:18" x14ac:dyDescent="0.2">
      <c r="A1462" s="7"/>
      <c r="B1462" s="7"/>
      <c r="C1462" s="7"/>
      <c r="D1462" s="7"/>
      <c r="E1462" s="7"/>
      <c r="F1462" s="7"/>
      <c r="G1462" s="37"/>
      <c r="H1462" s="37"/>
      <c r="I1462" s="7"/>
      <c r="J1462" s="7"/>
      <c r="K1462" s="7"/>
      <c r="L1462" s="7"/>
      <c r="M1462" s="7"/>
      <c r="N1462" s="7"/>
      <c r="O1462" s="7"/>
      <c r="P1462" s="7"/>
      <c r="Q1462" s="7"/>
      <c r="R1462" s="7"/>
    </row>
    <row r="1463" spans="1:18" x14ac:dyDescent="0.2">
      <c r="A1463" s="7"/>
      <c r="B1463" s="7"/>
      <c r="C1463" s="7"/>
      <c r="D1463" s="7"/>
      <c r="E1463" s="7"/>
      <c r="F1463" s="7"/>
      <c r="G1463" s="169"/>
      <c r="H1463" s="163"/>
      <c r="I1463" s="7"/>
      <c r="J1463" s="7"/>
      <c r="K1463" s="7"/>
      <c r="L1463" s="7"/>
      <c r="M1463" s="7"/>
      <c r="N1463" s="7"/>
      <c r="O1463" s="7"/>
      <c r="P1463" s="7"/>
      <c r="Q1463" s="7"/>
      <c r="R1463" s="7"/>
    </row>
    <row r="1464" spans="1:18" x14ac:dyDescent="0.2">
      <c r="A1464" s="7"/>
      <c r="B1464" s="7"/>
      <c r="C1464" s="7"/>
      <c r="D1464" s="7"/>
      <c r="E1464" s="7"/>
      <c r="F1464" s="7"/>
      <c r="G1464" s="37"/>
      <c r="H1464" s="37"/>
      <c r="I1464" s="7"/>
      <c r="J1464" s="7"/>
      <c r="K1464" s="7"/>
      <c r="L1464" s="7"/>
      <c r="M1464" s="7"/>
      <c r="N1464" s="7"/>
      <c r="O1464" s="7"/>
      <c r="P1464" s="7"/>
      <c r="Q1464" s="7"/>
      <c r="R1464" s="7"/>
    </row>
    <row r="1465" spans="1:18" ht="20.25" x14ac:dyDescent="0.2">
      <c r="A1465" s="7"/>
      <c r="B1465" s="7"/>
      <c r="C1465" s="7"/>
      <c r="D1465" s="7"/>
      <c r="E1465" s="7"/>
      <c r="F1465" s="7"/>
      <c r="G1465" s="171"/>
      <c r="H1465" s="171"/>
      <c r="I1465" s="7"/>
      <c r="J1465" s="7"/>
      <c r="K1465" s="7"/>
      <c r="L1465" s="7"/>
      <c r="M1465" s="7"/>
      <c r="N1465" s="7"/>
      <c r="O1465" s="7"/>
      <c r="P1465" s="7"/>
      <c r="Q1465" s="7"/>
      <c r="R1465" s="7"/>
    </row>
    <row r="1466" spans="1:18" x14ac:dyDescent="0.2">
      <c r="A1466" s="7"/>
      <c r="B1466" s="7"/>
      <c r="C1466" s="7"/>
      <c r="D1466" s="7"/>
      <c r="E1466" s="7"/>
      <c r="F1466" s="7"/>
      <c r="G1466" s="111"/>
      <c r="H1466" s="111"/>
      <c r="I1466" s="7"/>
      <c r="J1466" s="7"/>
      <c r="K1466" s="7"/>
      <c r="L1466" s="7"/>
      <c r="M1466" s="7"/>
      <c r="N1466" s="7"/>
      <c r="O1466" s="7"/>
      <c r="P1466" s="7"/>
      <c r="Q1466" s="7"/>
      <c r="R1466" s="7"/>
    </row>
    <row r="1467" spans="1:18" x14ac:dyDescent="0.2">
      <c r="A1467" s="7"/>
      <c r="B1467" s="7"/>
      <c r="C1467" s="7"/>
      <c r="D1467" s="7"/>
      <c r="E1467" s="7"/>
      <c r="F1467" s="7"/>
      <c r="G1467" s="111"/>
      <c r="H1467" s="111"/>
      <c r="I1467" s="7"/>
      <c r="J1467" s="7"/>
      <c r="K1467" s="7"/>
      <c r="L1467" s="7"/>
      <c r="M1467" s="7"/>
      <c r="N1467" s="7"/>
      <c r="O1467" s="7"/>
      <c r="P1467" s="7"/>
      <c r="Q1467" s="7"/>
      <c r="R1467" s="7"/>
    </row>
    <row r="1468" spans="1:18" x14ac:dyDescent="0.2">
      <c r="A1468" s="7"/>
      <c r="B1468" s="7"/>
      <c r="C1468" s="7"/>
      <c r="D1468" s="7"/>
      <c r="E1468" s="7"/>
      <c r="F1468" s="7"/>
      <c r="G1468" s="111"/>
      <c r="H1468" s="111"/>
      <c r="I1468" s="7"/>
      <c r="J1468" s="7"/>
      <c r="K1468" s="7"/>
      <c r="L1468" s="7"/>
      <c r="M1468" s="7"/>
      <c r="N1468" s="7"/>
      <c r="O1468" s="7"/>
      <c r="P1468" s="7"/>
      <c r="Q1468" s="7"/>
      <c r="R1468" s="7"/>
    </row>
    <row r="1469" spans="1:18" x14ac:dyDescent="0.2">
      <c r="A1469" s="7"/>
      <c r="B1469" s="7"/>
      <c r="C1469" s="7"/>
      <c r="D1469" s="7"/>
      <c r="E1469" s="7"/>
      <c r="F1469" s="7"/>
      <c r="G1469" s="106"/>
      <c r="H1469" s="106"/>
      <c r="I1469" s="7"/>
      <c r="J1469" s="7"/>
      <c r="K1469" s="7"/>
      <c r="L1469" s="7"/>
      <c r="M1469" s="7"/>
      <c r="N1469" s="7"/>
      <c r="O1469" s="7"/>
      <c r="P1469" s="7"/>
      <c r="Q1469" s="7"/>
      <c r="R1469" s="7"/>
    </row>
    <row r="1470" spans="1:18" x14ac:dyDescent="0.2">
      <c r="A1470" s="7"/>
      <c r="B1470" s="7"/>
      <c r="C1470" s="7"/>
      <c r="D1470" s="7"/>
      <c r="E1470" s="7"/>
      <c r="F1470" s="7"/>
      <c r="G1470" s="106"/>
      <c r="H1470" s="106"/>
      <c r="I1470" s="7"/>
      <c r="J1470" s="7"/>
      <c r="K1470" s="7"/>
      <c r="L1470" s="7"/>
      <c r="M1470" s="7"/>
      <c r="N1470" s="7"/>
      <c r="O1470" s="7"/>
      <c r="P1470" s="7"/>
      <c r="Q1470" s="7"/>
      <c r="R1470" s="7"/>
    </row>
    <row r="1471" spans="1:18" x14ac:dyDescent="0.2">
      <c r="A1471" s="7"/>
      <c r="B1471" s="7"/>
      <c r="C1471" s="7"/>
      <c r="D1471" s="7"/>
      <c r="E1471" s="7"/>
      <c r="F1471" s="7"/>
      <c r="G1471" s="106"/>
      <c r="H1471" s="106"/>
      <c r="I1471" s="7"/>
      <c r="J1471" s="7"/>
      <c r="K1471" s="7"/>
      <c r="L1471" s="7"/>
      <c r="M1471" s="7"/>
      <c r="N1471" s="7"/>
      <c r="O1471" s="7"/>
      <c r="P1471" s="7"/>
      <c r="Q1471" s="7"/>
      <c r="R1471" s="7"/>
    </row>
    <row r="1472" spans="1:18" x14ac:dyDescent="0.2">
      <c r="A1472" s="7"/>
      <c r="B1472" s="7"/>
      <c r="C1472" s="7"/>
      <c r="D1472" s="7"/>
      <c r="E1472" s="7"/>
      <c r="F1472" s="7"/>
      <c r="G1472" s="106"/>
      <c r="H1472" s="106"/>
      <c r="I1472" s="7"/>
      <c r="J1472" s="7"/>
      <c r="K1472" s="7"/>
      <c r="L1472" s="7"/>
      <c r="M1472" s="7"/>
      <c r="N1472" s="7"/>
      <c r="O1472" s="7"/>
      <c r="P1472" s="7"/>
      <c r="Q1472" s="7"/>
      <c r="R1472" s="7"/>
    </row>
    <row r="1473" spans="1:18" x14ac:dyDescent="0.2">
      <c r="A1473" s="7"/>
      <c r="B1473" s="7"/>
      <c r="C1473" s="7"/>
      <c r="D1473" s="7"/>
      <c r="E1473" s="7"/>
      <c r="F1473" s="7"/>
      <c r="G1473" s="106"/>
      <c r="H1473" s="106"/>
      <c r="I1473" s="7"/>
      <c r="J1473" s="7"/>
      <c r="K1473" s="7"/>
      <c r="L1473" s="7"/>
      <c r="M1473" s="7"/>
      <c r="N1473" s="7"/>
      <c r="O1473" s="7"/>
      <c r="P1473" s="7"/>
      <c r="Q1473" s="7"/>
      <c r="R1473" s="7"/>
    </row>
    <row r="1474" spans="1:18" x14ac:dyDescent="0.2">
      <c r="A1474" s="7"/>
      <c r="B1474" s="7"/>
      <c r="C1474" s="7"/>
      <c r="D1474" s="7"/>
      <c r="E1474" s="7"/>
      <c r="F1474" s="7"/>
      <c r="G1474" s="106"/>
      <c r="H1474" s="106"/>
      <c r="I1474" s="7"/>
      <c r="J1474" s="7"/>
      <c r="K1474" s="7"/>
      <c r="L1474" s="7"/>
      <c r="M1474" s="7"/>
      <c r="N1474" s="7"/>
      <c r="O1474" s="7"/>
      <c r="P1474" s="7"/>
      <c r="Q1474" s="7"/>
      <c r="R1474" s="7"/>
    </row>
    <row r="1475" spans="1:18" x14ac:dyDescent="0.2">
      <c r="A1475" s="7"/>
      <c r="B1475" s="7"/>
      <c r="C1475" s="7"/>
      <c r="D1475" s="7"/>
      <c r="E1475" s="7"/>
      <c r="F1475" s="7"/>
      <c r="G1475" s="106"/>
      <c r="H1475" s="106"/>
      <c r="I1475" s="7"/>
      <c r="J1475" s="7"/>
      <c r="K1475" s="7"/>
      <c r="L1475" s="7"/>
      <c r="M1475" s="7"/>
      <c r="N1475" s="7"/>
      <c r="O1475" s="7"/>
      <c r="P1475" s="7"/>
      <c r="Q1475" s="7"/>
      <c r="R1475" s="7"/>
    </row>
    <row r="1476" spans="1:18" x14ac:dyDescent="0.2">
      <c r="A1476" s="7"/>
      <c r="B1476" s="7"/>
      <c r="C1476" s="7"/>
      <c r="D1476" s="7"/>
      <c r="E1476" s="7"/>
      <c r="F1476" s="7"/>
      <c r="G1476" s="106"/>
      <c r="H1476" s="106"/>
      <c r="I1476" s="7"/>
      <c r="J1476" s="7"/>
      <c r="K1476" s="7"/>
      <c r="L1476" s="7"/>
      <c r="M1476" s="7"/>
      <c r="N1476" s="7"/>
      <c r="O1476" s="7"/>
      <c r="P1476" s="7"/>
      <c r="Q1476" s="7"/>
      <c r="R1476" s="7"/>
    </row>
    <row r="1477" spans="1:18" x14ac:dyDescent="0.2">
      <c r="A1477" s="7"/>
      <c r="B1477" s="7"/>
      <c r="C1477" s="7"/>
      <c r="D1477" s="7"/>
      <c r="E1477" s="7"/>
      <c r="F1477" s="7"/>
      <c r="G1477" s="106"/>
      <c r="H1477" s="106"/>
      <c r="I1477" s="7"/>
      <c r="J1477" s="7"/>
      <c r="K1477" s="7"/>
      <c r="L1477" s="7"/>
      <c r="M1477" s="7"/>
      <c r="N1477" s="7"/>
      <c r="O1477" s="7"/>
      <c r="P1477" s="7"/>
      <c r="Q1477" s="7"/>
      <c r="R1477" s="7"/>
    </row>
    <row r="1478" spans="1:18" x14ac:dyDescent="0.2">
      <c r="A1478" s="7"/>
      <c r="B1478" s="7"/>
      <c r="C1478" s="7"/>
      <c r="D1478" s="7"/>
      <c r="E1478" s="7"/>
      <c r="F1478" s="7"/>
      <c r="G1478" s="106"/>
      <c r="H1478" s="106"/>
      <c r="I1478" s="7"/>
      <c r="J1478" s="7"/>
      <c r="K1478" s="7"/>
      <c r="L1478" s="7"/>
      <c r="M1478" s="7"/>
      <c r="N1478" s="7"/>
      <c r="O1478" s="7"/>
      <c r="P1478" s="7"/>
      <c r="Q1478" s="7"/>
      <c r="R1478" s="7"/>
    </row>
    <row r="1479" spans="1:18" x14ac:dyDescent="0.2">
      <c r="A1479" s="7"/>
      <c r="B1479" s="7"/>
      <c r="C1479" s="7"/>
      <c r="D1479" s="7"/>
      <c r="E1479" s="7"/>
      <c r="F1479" s="7"/>
      <c r="G1479" s="106"/>
      <c r="H1479" s="106"/>
      <c r="I1479" s="7"/>
      <c r="J1479" s="7"/>
      <c r="K1479" s="7"/>
      <c r="L1479" s="7"/>
      <c r="M1479" s="7"/>
      <c r="N1479" s="7"/>
      <c r="O1479" s="7"/>
      <c r="P1479" s="7"/>
      <c r="Q1479" s="7"/>
      <c r="R1479" s="7"/>
    </row>
    <row r="1480" spans="1:18" x14ac:dyDescent="0.2">
      <c r="A1480" s="7"/>
      <c r="B1480" s="7"/>
      <c r="C1480" s="7"/>
      <c r="D1480" s="7"/>
      <c r="E1480" s="7"/>
      <c r="F1480" s="7"/>
      <c r="G1480" s="106"/>
      <c r="H1480" s="106"/>
      <c r="I1480" s="7"/>
      <c r="J1480" s="7"/>
      <c r="K1480" s="7"/>
      <c r="L1480" s="7"/>
      <c r="M1480" s="7"/>
      <c r="N1480" s="7"/>
      <c r="O1480" s="7"/>
      <c r="P1480" s="7"/>
      <c r="Q1480" s="7"/>
      <c r="R1480" s="7"/>
    </row>
    <row r="1481" spans="1:18" x14ac:dyDescent="0.2">
      <c r="A1481" s="7"/>
      <c r="B1481" s="7"/>
      <c r="C1481" s="7"/>
      <c r="D1481" s="7"/>
      <c r="E1481" s="7"/>
      <c r="F1481" s="7"/>
      <c r="G1481" s="106"/>
      <c r="H1481" s="106"/>
      <c r="I1481" s="7"/>
      <c r="J1481" s="7"/>
      <c r="K1481" s="7"/>
      <c r="L1481" s="7"/>
      <c r="M1481" s="7"/>
      <c r="N1481" s="7"/>
      <c r="O1481" s="7"/>
      <c r="P1481" s="7"/>
      <c r="Q1481" s="7"/>
      <c r="R1481" s="7"/>
    </row>
    <row r="1482" spans="1:18" x14ac:dyDescent="0.2">
      <c r="A1482" s="7"/>
      <c r="B1482" s="7"/>
      <c r="C1482" s="7"/>
      <c r="D1482" s="7"/>
      <c r="E1482" s="7"/>
      <c r="F1482" s="7"/>
      <c r="G1482" s="106"/>
      <c r="H1482" s="106"/>
      <c r="I1482" s="7"/>
      <c r="J1482" s="7"/>
      <c r="K1482" s="7"/>
      <c r="L1482" s="7"/>
      <c r="M1482" s="7"/>
      <c r="N1482" s="7"/>
      <c r="O1482" s="7"/>
      <c r="P1482" s="7"/>
      <c r="Q1482" s="7"/>
      <c r="R1482" s="7"/>
    </row>
    <row r="1483" spans="1:18" x14ac:dyDescent="0.2">
      <c r="A1483" s="7"/>
      <c r="B1483" s="7"/>
      <c r="C1483" s="7"/>
      <c r="D1483" s="7"/>
      <c r="E1483" s="7"/>
      <c r="F1483" s="7"/>
      <c r="G1483" s="106"/>
      <c r="H1483" s="106"/>
      <c r="I1483" s="7"/>
      <c r="J1483" s="7"/>
      <c r="K1483" s="7"/>
      <c r="L1483" s="7"/>
      <c r="M1483" s="7"/>
      <c r="N1483" s="7"/>
      <c r="O1483" s="7"/>
      <c r="P1483" s="7"/>
      <c r="Q1483" s="7"/>
      <c r="R1483" s="7"/>
    </row>
    <row r="1484" spans="1:18" x14ac:dyDescent="0.2">
      <c r="A1484" s="7"/>
      <c r="B1484" s="7"/>
      <c r="C1484" s="7"/>
      <c r="D1484" s="7"/>
      <c r="E1484" s="7"/>
      <c r="F1484" s="7"/>
      <c r="G1484" s="106"/>
      <c r="H1484" s="106"/>
      <c r="I1484" s="7"/>
      <c r="J1484" s="7"/>
      <c r="K1484" s="7"/>
      <c r="L1484" s="7"/>
      <c r="M1484" s="7"/>
      <c r="N1484" s="7"/>
      <c r="O1484" s="7"/>
      <c r="P1484" s="7"/>
      <c r="Q1484" s="7"/>
      <c r="R1484" s="7"/>
    </row>
    <row r="1485" spans="1:18" x14ac:dyDescent="0.2">
      <c r="A1485" s="7"/>
      <c r="B1485" s="7"/>
      <c r="C1485" s="7"/>
      <c r="D1485" s="7"/>
      <c r="E1485" s="7"/>
      <c r="F1485" s="7"/>
      <c r="G1485" s="106"/>
      <c r="H1485" s="106"/>
      <c r="I1485" s="7"/>
      <c r="J1485" s="7"/>
      <c r="K1485" s="7"/>
      <c r="L1485" s="7"/>
      <c r="M1485" s="7"/>
      <c r="N1485" s="7"/>
      <c r="O1485" s="7"/>
      <c r="P1485" s="7"/>
      <c r="Q1485" s="7"/>
      <c r="R1485" s="7"/>
    </row>
    <row r="1486" spans="1:18" x14ac:dyDescent="0.2">
      <c r="A1486" s="7"/>
      <c r="B1486" s="7"/>
      <c r="C1486" s="7"/>
      <c r="D1486" s="7"/>
      <c r="E1486" s="7"/>
      <c r="F1486" s="7"/>
      <c r="G1486" s="106"/>
      <c r="H1486" s="106"/>
      <c r="I1486" s="7"/>
      <c r="J1486" s="7"/>
      <c r="K1486" s="7"/>
      <c r="L1486" s="7"/>
      <c r="M1486" s="7"/>
      <c r="N1486" s="7"/>
      <c r="O1486" s="7"/>
      <c r="P1486" s="7"/>
      <c r="Q1486" s="7"/>
      <c r="R1486" s="7"/>
    </row>
    <row r="1487" spans="1:18" x14ac:dyDescent="0.2">
      <c r="A1487" s="7"/>
      <c r="B1487" s="7"/>
      <c r="C1487" s="7"/>
      <c r="D1487" s="7"/>
      <c r="E1487" s="7"/>
      <c r="F1487" s="7"/>
      <c r="G1487" s="106"/>
      <c r="H1487" s="106"/>
      <c r="I1487" s="7"/>
      <c r="J1487" s="7"/>
      <c r="K1487" s="7"/>
      <c r="L1487" s="7"/>
      <c r="M1487" s="7"/>
      <c r="N1487" s="7"/>
      <c r="O1487" s="7"/>
      <c r="P1487" s="7"/>
      <c r="Q1487" s="7"/>
      <c r="R1487" s="7"/>
    </row>
    <row r="1488" spans="1:18" x14ac:dyDescent="0.2">
      <c r="A1488" s="7"/>
      <c r="B1488" s="7"/>
      <c r="C1488" s="7"/>
      <c r="D1488" s="7"/>
      <c r="E1488" s="7"/>
      <c r="F1488" s="7"/>
      <c r="G1488" s="106"/>
      <c r="H1488" s="106"/>
      <c r="I1488" s="7"/>
      <c r="J1488" s="7"/>
      <c r="K1488" s="7"/>
      <c r="L1488" s="7"/>
      <c r="M1488" s="7"/>
      <c r="N1488" s="7"/>
      <c r="O1488" s="7"/>
      <c r="P1488" s="7"/>
      <c r="Q1488" s="7"/>
      <c r="R1488" s="7"/>
    </row>
    <row r="1489" spans="1:18" x14ac:dyDescent="0.2">
      <c r="A1489" s="7"/>
      <c r="B1489" s="7"/>
      <c r="C1489" s="7"/>
      <c r="D1489" s="7"/>
      <c r="E1489" s="7"/>
      <c r="F1489" s="7"/>
      <c r="G1489" s="106"/>
      <c r="H1489" s="106"/>
      <c r="I1489" s="7"/>
      <c r="J1489" s="7"/>
      <c r="K1489" s="7"/>
      <c r="L1489" s="7"/>
      <c r="M1489" s="7"/>
      <c r="N1489" s="7"/>
      <c r="O1489" s="7"/>
      <c r="P1489" s="7"/>
      <c r="Q1489" s="7"/>
      <c r="R1489" s="7"/>
    </row>
    <row r="1490" spans="1:18" x14ac:dyDescent="0.2">
      <c r="A1490" s="7"/>
      <c r="B1490" s="7"/>
      <c r="C1490" s="7"/>
      <c r="D1490" s="7"/>
      <c r="E1490" s="7"/>
      <c r="F1490" s="7"/>
      <c r="G1490" s="106"/>
      <c r="H1490" s="106"/>
      <c r="I1490" s="7"/>
      <c r="J1490" s="7"/>
      <c r="K1490" s="7"/>
      <c r="L1490" s="7"/>
      <c r="M1490" s="7"/>
      <c r="N1490" s="7"/>
      <c r="O1490" s="7"/>
      <c r="P1490" s="7"/>
      <c r="Q1490" s="7"/>
      <c r="R1490" s="7"/>
    </row>
    <row r="1491" spans="1:18" x14ac:dyDescent="0.2">
      <c r="A1491" s="7"/>
      <c r="B1491" s="7"/>
      <c r="C1491" s="7"/>
      <c r="D1491" s="7"/>
      <c r="E1491" s="7"/>
      <c r="F1491" s="7"/>
      <c r="G1491" s="106"/>
      <c r="H1491" s="106"/>
      <c r="I1491" s="7"/>
      <c r="J1491" s="7"/>
      <c r="K1491" s="7"/>
      <c r="L1491" s="7"/>
      <c r="M1491" s="7"/>
      <c r="N1491" s="7"/>
      <c r="O1491" s="7"/>
      <c r="P1491" s="7"/>
      <c r="Q1491" s="7"/>
      <c r="R1491" s="7"/>
    </row>
    <row r="1492" spans="1:18" x14ac:dyDescent="0.2">
      <c r="A1492" s="7"/>
      <c r="B1492" s="7"/>
      <c r="C1492" s="7"/>
      <c r="D1492" s="7"/>
      <c r="E1492" s="7"/>
      <c r="F1492" s="7"/>
      <c r="G1492" s="111"/>
      <c r="H1492" s="111"/>
      <c r="I1492" s="7"/>
      <c r="J1492" s="7"/>
      <c r="K1492" s="7"/>
      <c r="L1492" s="7"/>
      <c r="M1492" s="7"/>
      <c r="N1492" s="7"/>
      <c r="O1492" s="7"/>
      <c r="P1492" s="7"/>
      <c r="Q1492" s="7"/>
      <c r="R1492" s="7"/>
    </row>
    <row r="1493" spans="1:18" x14ac:dyDescent="0.2">
      <c r="A1493" s="7"/>
      <c r="B1493" s="7"/>
      <c r="C1493" s="7"/>
      <c r="D1493" s="7"/>
      <c r="E1493" s="7"/>
      <c r="F1493" s="7"/>
      <c r="G1493" s="111"/>
      <c r="H1493" s="111"/>
      <c r="I1493" s="7"/>
      <c r="J1493" s="7"/>
      <c r="K1493" s="7"/>
      <c r="L1493" s="7"/>
      <c r="M1493" s="7"/>
      <c r="N1493" s="7"/>
      <c r="O1493" s="7"/>
      <c r="P1493" s="7"/>
      <c r="Q1493" s="7"/>
      <c r="R1493" s="7"/>
    </row>
    <row r="1494" spans="1:18" x14ac:dyDescent="0.2">
      <c r="A1494" s="7"/>
      <c r="B1494" s="7"/>
      <c r="C1494" s="7"/>
      <c r="D1494" s="7"/>
      <c r="E1494" s="7"/>
      <c r="F1494" s="7"/>
      <c r="G1494" s="168"/>
      <c r="H1494" s="168"/>
      <c r="I1494" s="7"/>
      <c r="J1494" s="7"/>
      <c r="K1494" s="7"/>
      <c r="L1494" s="7"/>
      <c r="M1494" s="7"/>
      <c r="N1494" s="7"/>
      <c r="O1494" s="7"/>
      <c r="P1494" s="7"/>
      <c r="Q1494" s="7"/>
      <c r="R1494" s="7"/>
    </row>
    <row r="1495" spans="1:18" x14ac:dyDescent="0.2">
      <c r="A1495" s="7"/>
      <c r="B1495" s="7"/>
      <c r="C1495" s="7"/>
      <c r="D1495" s="7"/>
      <c r="E1495" s="7"/>
      <c r="F1495" s="7"/>
      <c r="G1495" s="106"/>
      <c r="H1495" s="106"/>
      <c r="I1495" s="7"/>
      <c r="J1495" s="7"/>
      <c r="K1495" s="7"/>
      <c r="L1495" s="7"/>
      <c r="M1495" s="7"/>
      <c r="N1495" s="7"/>
      <c r="O1495" s="7"/>
      <c r="P1495" s="7"/>
      <c r="Q1495" s="7"/>
      <c r="R1495" s="7"/>
    </row>
    <row r="1496" spans="1:18" x14ac:dyDescent="0.2">
      <c r="A1496" s="7"/>
      <c r="B1496" s="7"/>
      <c r="C1496" s="7"/>
      <c r="D1496" s="7"/>
      <c r="E1496" s="7"/>
      <c r="F1496" s="7"/>
      <c r="G1496" s="111"/>
      <c r="H1496" s="111"/>
      <c r="I1496" s="7"/>
      <c r="J1496" s="7"/>
      <c r="K1496" s="7"/>
      <c r="L1496" s="7"/>
      <c r="M1496" s="7"/>
      <c r="N1496" s="7"/>
      <c r="O1496" s="7"/>
      <c r="P1496" s="7"/>
      <c r="Q1496" s="7"/>
      <c r="R1496" s="7"/>
    </row>
    <row r="1497" spans="1:18" x14ac:dyDescent="0.2">
      <c r="A1497" s="7"/>
      <c r="B1497" s="7"/>
      <c r="C1497" s="7"/>
      <c r="D1497" s="7"/>
      <c r="E1497" s="7"/>
      <c r="F1497" s="7"/>
      <c r="G1497" s="111"/>
      <c r="H1497" s="111"/>
      <c r="I1497" s="7"/>
      <c r="J1497" s="7"/>
      <c r="K1497" s="7"/>
      <c r="L1497" s="7"/>
      <c r="M1497" s="7"/>
      <c r="N1497" s="7"/>
      <c r="O1497" s="7"/>
      <c r="P1497" s="7"/>
      <c r="Q1497" s="7"/>
      <c r="R1497" s="7"/>
    </row>
    <row r="1498" spans="1:18" x14ac:dyDescent="0.2">
      <c r="A1498" s="7"/>
      <c r="B1498" s="7"/>
      <c r="C1498" s="7"/>
      <c r="D1498" s="7"/>
      <c r="E1498" s="7"/>
      <c r="F1498" s="7"/>
      <c r="G1498" s="168"/>
      <c r="H1498" s="168"/>
      <c r="I1498" s="7"/>
      <c r="J1498" s="7"/>
      <c r="K1498" s="7"/>
      <c r="L1498" s="7"/>
      <c r="M1498" s="7"/>
      <c r="N1498" s="7"/>
      <c r="O1498" s="7"/>
      <c r="P1498" s="7"/>
      <c r="Q1498" s="7"/>
      <c r="R1498" s="7"/>
    </row>
    <row r="1499" spans="1:18" x14ac:dyDescent="0.2">
      <c r="A1499" s="7"/>
      <c r="B1499" s="7"/>
      <c r="C1499" s="7"/>
      <c r="D1499" s="7"/>
      <c r="E1499" s="7"/>
      <c r="F1499" s="7"/>
      <c r="G1499" s="106"/>
      <c r="H1499" s="106"/>
      <c r="I1499" s="7"/>
      <c r="J1499" s="7"/>
      <c r="K1499" s="7"/>
      <c r="L1499" s="7"/>
      <c r="M1499" s="7"/>
      <c r="N1499" s="7"/>
      <c r="O1499" s="7"/>
      <c r="P1499" s="7"/>
      <c r="Q1499" s="7"/>
      <c r="R1499" s="7"/>
    </row>
    <row r="1500" spans="1:18" x14ac:dyDescent="0.2">
      <c r="A1500" s="7"/>
      <c r="B1500" s="7"/>
      <c r="C1500" s="7"/>
      <c r="D1500" s="7"/>
      <c r="E1500" s="7"/>
      <c r="F1500" s="7"/>
      <c r="G1500" s="168"/>
      <c r="H1500" s="168"/>
      <c r="I1500" s="7"/>
      <c r="J1500" s="7"/>
      <c r="K1500" s="7"/>
      <c r="L1500" s="7"/>
      <c r="M1500" s="7"/>
      <c r="N1500" s="7"/>
      <c r="O1500" s="7"/>
      <c r="P1500" s="7"/>
      <c r="Q1500" s="7"/>
      <c r="R1500" s="7"/>
    </row>
    <row r="1501" spans="1:18" x14ac:dyDescent="0.2">
      <c r="A1501" s="7"/>
      <c r="B1501" s="7"/>
      <c r="C1501" s="7"/>
      <c r="D1501" s="7"/>
      <c r="E1501" s="7"/>
      <c r="F1501" s="7"/>
      <c r="G1501" s="106"/>
      <c r="H1501" s="106"/>
      <c r="I1501" s="7"/>
      <c r="J1501" s="7"/>
      <c r="K1501" s="7"/>
      <c r="L1501" s="7"/>
      <c r="M1501" s="7"/>
      <c r="N1501" s="7"/>
      <c r="O1501" s="7"/>
      <c r="P1501" s="7"/>
      <c r="Q1501" s="7"/>
      <c r="R1501" s="7"/>
    </row>
    <row r="1502" spans="1:18" x14ac:dyDescent="0.2">
      <c r="A1502" s="7"/>
      <c r="B1502" s="7"/>
      <c r="C1502" s="7"/>
      <c r="D1502" s="7"/>
      <c r="E1502" s="7"/>
      <c r="F1502" s="7"/>
      <c r="G1502" s="111"/>
      <c r="H1502" s="111"/>
      <c r="I1502" s="7"/>
      <c r="J1502" s="7"/>
      <c r="K1502" s="7"/>
      <c r="L1502" s="7"/>
      <c r="M1502" s="7"/>
      <c r="N1502" s="7"/>
      <c r="O1502" s="7"/>
      <c r="P1502" s="7"/>
      <c r="Q1502" s="7"/>
      <c r="R1502" s="7"/>
    </row>
    <row r="1503" spans="1:18" x14ac:dyDescent="0.2">
      <c r="A1503" s="7"/>
      <c r="B1503" s="7"/>
      <c r="C1503" s="7"/>
      <c r="D1503" s="7"/>
      <c r="E1503" s="7"/>
      <c r="F1503" s="7"/>
      <c r="G1503" s="111"/>
      <c r="H1503" s="111"/>
      <c r="I1503" s="7"/>
      <c r="J1503" s="7"/>
      <c r="K1503" s="7"/>
      <c r="L1503" s="7"/>
      <c r="M1503" s="7"/>
      <c r="N1503" s="7"/>
      <c r="O1503" s="7"/>
      <c r="P1503" s="7"/>
      <c r="Q1503" s="7"/>
      <c r="R1503" s="7"/>
    </row>
    <row r="1504" spans="1:18" x14ac:dyDescent="0.2">
      <c r="A1504" s="7"/>
      <c r="B1504" s="7"/>
      <c r="C1504" s="7"/>
      <c r="D1504" s="7"/>
      <c r="E1504" s="7"/>
      <c r="F1504" s="7"/>
      <c r="G1504" s="168"/>
      <c r="H1504" s="168"/>
      <c r="I1504" s="7"/>
      <c r="J1504" s="7"/>
      <c r="K1504" s="7"/>
      <c r="L1504" s="7"/>
      <c r="M1504" s="7"/>
      <c r="N1504" s="7"/>
      <c r="O1504" s="7"/>
      <c r="P1504" s="7"/>
      <c r="Q1504" s="7"/>
      <c r="R1504" s="7"/>
    </row>
    <row r="1505" spans="1:18" x14ac:dyDescent="0.2">
      <c r="A1505" s="7"/>
      <c r="B1505" s="7"/>
      <c r="C1505" s="7"/>
      <c r="D1505" s="7"/>
      <c r="E1505" s="7"/>
      <c r="F1505" s="7"/>
      <c r="G1505" s="106"/>
      <c r="H1505" s="106"/>
      <c r="I1505" s="7"/>
      <c r="J1505" s="7"/>
      <c r="K1505" s="7"/>
      <c r="L1505" s="7"/>
      <c r="M1505" s="7"/>
      <c r="N1505" s="7"/>
      <c r="O1505" s="7"/>
      <c r="P1505" s="7"/>
      <c r="Q1505" s="7"/>
      <c r="R1505" s="7"/>
    </row>
    <row r="1506" spans="1:18" x14ac:dyDescent="0.2">
      <c r="A1506" s="7"/>
      <c r="B1506" s="7"/>
      <c r="C1506" s="7"/>
      <c r="D1506" s="7"/>
      <c r="E1506" s="7"/>
      <c r="F1506" s="7"/>
      <c r="G1506" s="106"/>
      <c r="H1506" s="106"/>
      <c r="I1506" s="7"/>
      <c r="J1506" s="7"/>
      <c r="K1506" s="7"/>
      <c r="L1506" s="7"/>
      <c r="M1506" s="7"/>
      <c r="N1506" s="7"/>
      <c r="O1506" s="7"/>
      <c r="P1506" s="7"/>
      <c r="Q1506" s="7"/>
      <c r="R1506" s="7"/>
    </row>
    <row r="1507" spans="1:18" x14ac:dyDescent="0.2">
      <c r="A1507" s="7"/>
      <c r="B1507" s="7"/>
      <c r="C1507" s="7"/>
      <c r="D1507" s="7"/>
      <c r="E1507" s="7"/>
      <c r="F1507" s="7"/>
      <c r="G1507" s="111"/>
      <c r="H1507" s="111"/>
      <c r="I1507" s="7"/>
      <c r="J1507" s="7"/>
      <c r="K1507" s="7"/>
      <c r="L1507" s="7"/>
      <c r="M1507" s="7"/>
      <c r="N1507" s="7"/>
      <c r="O1507" s="7"/>
      <c r="P1507" s="7"/>
      <c r="Q1507" s="7"/>
      <c r="R1507" s="7"/>
    </row>
    <row r="1508" spans="1:18" x14ac:dyDescent="0.2">
      <c r="A1508" s="7"/>
      <c r="B1508" s="7"/>
      <c r="C1508" s="7"/>
      <c r="D1508" s="7"/>
      <c r="E1508" s="7"/>
      <c r="F1508" s="7"/>
      <c r="G1508" s="111"/>
      <c r="H1508" s="111"/>
      <c r="I1508" s="7"/>
      <c r="J1508" s="7"/>
      <c r="K1508" s="7"/>
      <c r="L1508" s="7"/>
      <c r="M1508" s="7"/>
      <c r="N1508" s="7"/>
      <c r="O1508" s="7"/>
      <c r="P1508" s="7"/>
      <c r="Q1508" s="7"/>
      <c r="R1508" s="7"/>
    </row>
    <row r="1509" spans="1:18" x14ac:dyDescent="0.2">
      <c r="A1509" s="7"/>
      <c r="B1509" s="7"/>
      <c r="C1509" s="7"/>
      <c r="D1509" s="7"/>
      <c r="E1509" s="7"/>
      <c r="F1509" s="7"/>
      <c r="G1509" s="106"/>
      <c r="H1509" s="106"/>
      <c r="I1509" s="7"/>
      <c r="J1509" s="7"/>
      <c r="K1509" s="7"/>
      <c r="L1509" s="7"/>
      <c r="M1509" s="7"/>
      <c r="N1509" s="7"/>
      <c r="O1509" s="7"/>
      <c r="P1509" s="7"/>
      <c r="Q1509" s="7"/>
      <c r="R1509" s="7"/>
    </row>
    <row r="1510" spans="1:18" x14ac:dyDescent="0.2">
      <c r="A1510" s="7"/>
      <c r="B1510" s="7"/>
      <c r="C1510" s="7"/>
      <c r="D1510" s="7"/>
      <c r="E1510" s="7"/>
      <c r="F1510" s="7"/>
      <c r="G1510" s="106"/>
      <c r="H1510" s="106"/>
      <c r="I1510" s="7"/>
      <c r="J1510" s="7"/>
      <c r="K1510" s="7"/>
      <c r="L1510" s="7"/>
      <c r="M1510" s="7"/>
      <c r="N1510" s="7"/>
      <c r="O1510" s="7"/>
      <c r="P1510" s="7"/>
      <c r="Q1510" s="7"/>
      <c r="R1510" s="7"/>
    </row>
    <row r="1511" spans="1:18" x14ac:dyDescent="0.2">
      <c r="A1511" s="7"/>
      <c r="B1511" s="7"/>
      <c r="C1511" s="7"/>
      <c r="D1511" s="7"/>
      <c r="E1511" s="7"/>
      <c r="F1511" s="7"/>
      <c r="G1511" s="106"/>
      <c r="H1511" s="106"/>
      <c r="I1511" s="7"/>
      <c r="J1511" s="7"/>
      <c r="K1511" s="7"/>
      <c r="L1511" s="7"/>
      <c r="M1511" s="7"/>
      <c r="N1511" s="7"/>
      <c r="O1511" s="7"/>
      <c r="P1511" s="7"/>
      <c r="Q1511" s="7"/>
      <c r="R1511" s="7"/>
    </row>
    <row r="1512" spans="1:18" x14ac:dyDescent="0.2">
      <c r="A1512" s="7"/>
      <c r="B1512" s="7"/>
      <c r="C1512" s="7"/>
      <c r="D1512" s="7"/>
      <c r="E1512" s="7"/>
      <c r="F1512" s="7"/>
      <c r="G1512" s="106"/>
      <c r="H1512" s="106"/>
      <c r="I1512" s="7"/>
      <c r="J1512" s="7"/>
      <c r="K1512" s="7"/>
      <c r="L1512" s="7"/>
      <c r="M1512" s="7"/>
      <c r="N1512" s="7"/>
      <c r="O1512" s="7"/>
      <c r="P1512" s="7"/>
      <c r="Q1512" s="7"/>
      <c r="R1512" s="7"/>
    </row>
    <row r="1513" spans="1:18" x14ac:dyDescent="0.2">
      <c r="A1513" s="7"/>
      <c r="B1513" s="7"/>
      <c r="C1513" s="7"/>
      <c r="D1513" s="7"/>
      <c r="E1513" s="7"/>
      <c r="F1513" s="7"/>
      <c r="G1513" s="106"/>
      <c r="H1513" s="106"/>
      <c r="I1513" s="7"/>
      <c r="J1513" s="7"/>
      <c r="K1513" s="7"/>
      <c r="L1513" s="7"/>
      <c r="M1513" s="7"/>
      <c r="N1513" s="7"/>
      <c r="O1513" s="7"/>
      <c r="P1513" s="7"/>
      <c r="Q1513" s="7"/>
      <c r="R1513" s="7"/>
    </row>
    <row r="1514" spans="1:18" x14ac:dyDescent="0.2">
      <c r="A1514" s="7"/>
      <c r="B1514" s="7"/>
      <c r="C1514" s="7"/>
      <c r="D1514" s="7"/>
      <c r="E1514" s="7"/>
      <c r="F1514" s="7"/>
      <c r="G1514" s="106"/>
      <c r="H1514" s="106"/>
      <c r="I1514" s="7"/>
      <c r="J1514" s="7"/>
      <c r="K1514" s="7"/>
      <c r="L1514" s="7"/>
      <c r="M1514" s="7"/>
      <c r="N1514" s="7"/>
      <c r="O1514" s="7"/>
      <c r="P1514" s="7"/>
      <c r="Q1514" s="7"/>
      <c r="R1514" s="7"/>
    </row>
    <row r="1515" spans="1:18" x14ac:dyDescent="0.2">
      <c r="A1515" s="7"/>
      <c r="B1515" s="7"/>
      <c r="C1515" s="7"/>
      <c r="D1515" s="7"/>
      <c r="E1515" s="7"/>
      <c r="F1515" s="7"/>
      <c r="G1515" s="106"/>
      <c r="H1515" s="106"/>
      <c r="I1515" s="7"/>
      <c r="J1515" s="7"/>
      <c r="K1515" s="7"/>
      <c r="L1515" s="7"/>
      <c r="M1515" s="7"/>
      <c r="N1515" s="7"/>
      <c r="O1515" s="7"/>
      <c r="P1515" s="7"/>
      <c r="Q1515" s="7"/>
      <c r="R1515" s="7"/>
    </row>
    <row r="1516" spans="1:18" x14ac:dyDescent="0.2">
      <c r="A1516" s="7"/>
      <c r="B1516" s="7"/>
      <c r="C1516" s="7"/>
      <c r="D1516" s="7"/>
      <c r="E1516" s="7"/>
      <c r="F1516" s="7"/>
      <c r="G1516" s="111"/>
      <c r="H1516" s="111"/>
      <c r="I1516" s="7"/>
      <c r="J1516" s="7"/>
      <c r="K1516" s="7"/>
      <c r="L1516" s="7"/>
      <c r="M1516" s="7"/>
      <c r="N1516" s="7"/>
      <c r="O1516" s="7"/>
      <c r="P1516" s="7"/>
      <c r="Q1516" s="7"/>
      <c r="R1516" s="7"/>
    </row>
    <row r="1517" spans="1:18" ht="20.25" x14ac:dyDescent="0.2">
      <c r="A1517" s="7"/>
      <c r="B1517" s="7"/>
      <c r="C1517" s="7"/>
      <c r="D1517" s="7"/>
      <c r="E1517" s="7"/>
      <c r="F1517" s="7"/>
      <c r="G1517" s="171"/>
      <c r="H1517" s="171"/>
      <c r="I1517" s="7"/>
      <c r="J1517" s="7"/>
      <c r="K1517" s="7"/>
      <c r="L1517" s="7"/>
      <c r="M1517" s="7"/>
      <c r="N1517" s="7"/>
      <c r="O1517" s="7"/>
      <c r="P1517" s="7"/>
      <c r="Q1517" s="7"/>
      <c r="R1517" s="7"/>
    </row>
  </sheetData>
  <mergeCells count="9">
    <mergeCell ref="A718:E718"/>
    <mergeCell ref="F2:H2"/>
    <mergeCell ref="A112:E112"/>
    <mergeCell ref="L3:N3"/>
    <mergeCell ref="L4:N4"/>
    <mergeCell ref="A180:H180"/>
    <mergeCell ref="A8:H8"/>
    <mergeCell ref="F3:H3"/>
    <mergeCell ref="A5:F5"/>
  </mergeCells>
  <phoneticPr fontId="0" type="noConversion"/>
  <conditionalFormatting sqref="D262:D263">
    <cfRule type="uniqueValues" dxfId="5" priority="9" stopIfTrue="1"/>
  </conditionalFormatting>
  <conditionalFormatting sqref="B262:B263">
    <cfRule type="uniqueValues" dxfId="4" priority="10" stopIfTrue="1"/>
  </conditionalFormatting>
  <conditionalFormatting sqref="D133:D134">
    <cfRule type="uniqueValues" dxfId="3" priority="3" stopIfTrue="1"/>
  </conditionalFormatting>
  <conditionalFormatting sqref="B133:B134">
    <cfRule type="uniqueValues" dxfId="2" priority="4" stopIfTrue="1"/>
  </conditionalFormatting>
  <conditionalFormatting sqref="D749:D750">
    <cfRule type="uniqueValues" dxfId="1" priority="1" stopIfTrue="1"/>
  </conditionalFormatting>
  <conditionalFormatting sqref="B749:B750">
    <cfRule type="uniqueValues" dxfId="0" priority="2" stopIfTrue="1"/>
  </conditionalFormatting>
  <pageMargins left="0" right="0" top="1.3779527559055118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Користувач Windows</cp:lastModifiedBy>
  <cp:lastPrinted>2019-09-24T14:28:05Z</cp:lastPrinted>
  <dcterms:created xsi:type="dcterms:W3CDTF">2015-09-11T08:54:23Z</dcterms:created>
  <dcterms:modified xsi:type="dcterms:W3CDTF">2019-10-01T12:39:27Z</dcterms:modified>
</cp:coreProperties>
</file>