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bookViews>
    <workbookView xWindow="0" yWindow="0" windowWidth="28800" windowHeight="12330"/>
  </bookViews>
  <sheets>
    <sheet name="27.10.2020" sheetId="4" r:id="rId1"/>
  </sheets>
  <definedNames>
    <definedName name="_xlnm.Print_Titles" localSheetId="0">'27.10.2020'!$7:$7</definedName>
    <definedName name="_xlnm.Print_Area" localSheetId="0">'27.10.2020'!$A$1:$H$695</definedName>
  </definedNames>
  <calcPr calcId="162913" refMode="R1C1"/>
</workbook>
</file>

<file path=xl/calcChain.xml><?xml version="1.0" encoding="utf-8"?>
<calcChain xmlns="http://schemas.openxmlformats.org/spreadsheetml/2006/main">
  <c r="G506" i="4" l="1"/>
  <c r="G611" i="4" l="1"/>
  <c r="G574" i="4"/>
  <c r="G458" i="4"/>
  <c r="G426" i="4"/>
  <c r="H436" i="4"/>
  <c r="G436" i="4"/>
  <c r="G415" i="4"/>
  <c r="G188" i="4"/>
  <c r="H188" i="4"/>
  <c r="G424" i="4" l="1"/>
  <c r="G332" i="4"/>
  <c r="G107" i="4"/>
  <c r="G152" i="4"/>
  <c r="G425" i="4" l="1"/>
  <c r="G433" i="4"/>
  <c r="G422" i="4"/>
  <c r="G269" i="4" l="1"/>
  <c r="G250" i="4"/>
  <c r="G243" i="4"/>
  <c r="G242" i="4"/>
  <c r="G244" i="4"/>
  <c r="H244" i="4" s="1"/>
  <c r="G656" i="4"/>
  <c r="H656" i="4" s="1"/>
  <c r="G229" i="4"/>
  <c r="G216" i="4"/>
  <c r="G208" i="4"/>
  <c r="G206" i="4"/>
  <c r="G187" i="4"/>
  <c r="G175" i="4"/>
  <c r="G182" i="4"/>
  <c r="G174" i="4"/>
  <c r="G176" i="4"/>
  <c r="G178" i="4"/>
  <c r="G180" i="4"/>
  <c r="G166" i="4"/>
  <c r="G160" i="4"/>
  <c r="G150" i="4"/>
  <c r="G639" i="4"/>
  <c r="H639" i="4" s="1"/>
  <c r="G625" i="4"/>
  <c r="G591" i="4"/>
  <c r="G572" i="4"/>
  <c r="G508" i="4"/>
  <c r="G471" i="4"/>
  <c r="G484" i="4"/>
  <c r="G469" i="4"/>
  <c r="G472" i="4"/>
  <c r="G482" i="4"/>
  <c r="G480" i="4"/>
  <c r="G443" i="4"/>
  <c r="G427" i="4"/>
  <c r="G342" i="4"/>
  <c r="G337" i="4"/>
  <c r="G328" i="4"/>
  <c r="G437" i="4"/>
  <c r="F666" i="4"/>
  <c r="G669" i="4"/>
  <c r="H669" i="4" s="1"/>
  <c r="G668" i="4"/>
  <c r="G663" i="4"/>
  <c r="G666" i="4" l="1"/>
  <c r="H668" i="4"/>
  <c r="G16" i="4"/>
  <c r="G12" i="4"/>
  <c r="F585" i="4" l="1"/>
  <c r="G291" i="4"/>
  <c r="G289" i="4" s="1"/>
  <c r="F273" i="4"/>
  <c r="G275" i="4"/>
  <c r="G273" i="4" s="1"/>
  <c r="G247" i="4"/>
  <c r="H247" i="4" s="1"/>
  <c r="G234" i="4"/>
  <c r="G236" i="4"/>
  <c r="H236" i="4" s="1"/>
  <c r="G235" i="4"/>
  <c r="H235" i="4"/>
  <c r="G223" i="4"/>
  <c r="G224" i="4"/>
  <c r="H224" i="4" s="1"/>
  <c r="G214" i="4"/>
  <c r="H214" i="4" s="1"/>
  <c r="F213" i="4"/>
  <c r="G204" i="4"/>
  <c r="G201" i="4"/>
  <c r="H201" i="4" s="1"/>
  <c r="F200" i="4"/>
  <c r="G197" i="4"/>
  <c r="H197" i="4" s="1"/>
  <c r="G181" i="4"/>
  <c r="H181" i="4" s="1"/>
  <c r="G185" i="4"/>
  <c r="H185" i="4" s="1"/>
  <c r="G179" i="4"/>
  <c r="G167" i="4"/>
  <c r="H167" i="4" s="1"/>
  <c r="G170" i="4"/>
  <c r="G157" i="4"/>
  <c r="F141" i="4"/>
  <c r="F139" i="4" s="1"/>
  <c r="G142" i="4"/>
  <c r="G141" i="4" s="1"/>
  <c r="G139" i="4" s="1"/>
  <c r="H142" i="4"/>
  <c r="H140" i="4"/>
  <c r="G126" i="4"/>
  <c r="G125" i="4" s="1"/>
  <c r="H126" i="4"/>
  <c r="F125" i="4"/>
  <c r="G110" i="4"/>
  <c r="F102" i="4"/>
  <c r="F100" i="4" s="1"/>
  <c r="G103" i="4"/>
  <c r="H103" i="4" s="1"/>
  <c r="H101" i="4"/>
  <c r="G640" i="4"/>
  <c r="H640" i="4" s="1"/>
  <c r="G634" i="4"/>
  <c r="G630" i="4"/>
  <c r="G641" i="4"/>
  <c r="H641" i="4" s="1"/>
  <c r="G638" i="4"/>
  <c r="H638" i="4" s="1"/>
  <c r="G601" i="4"/>
  <c r="G597" i="4"/>
  <c r="G598" i="4"/>
  <c r="G602" i="4"/>
  <c r="G593" i="4"/>
  <c r="G589" i="4"/>
  <c r="G587" i="4"/>
  <c r="H587" i="4" s="1"/>
  <c r="G586" i="4"/>
  <c r="G585" i="4" s="1"/>
  <c r="G580" i="4"/>
  <c r="G581" i="4"/>
  <c r="G571" i="4"/>
  <c r="G570" i="4"/>
  <c r="G568" i="4"/>
  <c r="G562" i="4"/>
  <c r="G525" i="4"/>
  <c r="G546" i="4"/>
  <c r="G547" i="4"/>
  <c r="G542" i="4"/>
  <c r="H542" i="4" s="1"/>
  <c r="G538" i="4"/>
  <c r="H538" i="4" s="1"/>
  <c r="G537" i="4"/>
  <c r="H537" i="4" s="1"/>
  <c r="G536" i="4"/>
  <c r="G533" i="4"/>
  <c r="G500" i="4"/>
  <c r="G478" i="4"/>
  <c r="G510" i="4"/>
  <c r="H510" i="4" s="1"/>
  <c r="G481" i="4"/>
  <c r="G501" i="4"/>
  <c r="G503" i="4"/>
  <c r="G494" i="4"/>
  <c r="G474" i="4"/>
  <c r="G453" i="4"/>
  <c r="G457" i="4"/>
  <c r="G461" i="4"/>
  <c r="G462" i="4"/>
  <c r="G460" i="4"/>
  <c r="G454" i="4"/>
  <c r="G441" i="4"/>
  <c r="H441" i="4" s="1"/>
  <c r="F440" i="4"/>
  <c r="G434" i="4"/>
  <c r="G429" i="4"/>
  <c r="G435" i="4"/>
  <c r="G423" i="4"/>
  <c r="G432" i="4"/>
  <c r="G428" i="4"/>
  <c r="G384" i="4"/>
  <c r="G379" i="4"/>
  <c r="G374" i="4"/>
  <c r="G370" i="4"/>
  <c r="G364" i="4"/>
  <c r="G357" i="4"/>
  <c r="G348" i="4"/>
  <c r="G313" i="4"/>
  <c r="G310" i="4"/>
  <c r="H310" i="4" s="1"/>
  <c r="G309" i="4"/>
  <c r="G419" i="4"/>
  <c r="H419" i="4" s="1"/>
  <c r="G345" i="4"/>
  <c r="G683" i="4"/>
  <c r="G679" i="4"/>
  <c r="H679" i="4" s="1"/>
  <c r="F678" i="4"/>
  <c r="H663" i="4"/>
  <c r="G662" i="4"/>
  <c r="F662" i="4"/>
  <c r="F336" i="4"/>
  <c r="F331" i="4"/>
  <c r="H291" i="4" l="1"/>
  <c r="H275" i="4"/>
  <c r="G190" i="4"/>
  <c r="G232" i="4"/>
  <c r="G230" i="4" s="1"/>
  <c r="G200" i="4"/>
  <c r="H200" i="4" s="1"/>
  <c r="G213" i="4"/>
  <c r="H213" i="4" s="1"/>
  <c r="H234" i="4"/>
  <c r="H141" i="4"/>
  <c r="H139" i="4"/>
  <c r="H125" i="4"/>
  <c r="G102" i="4"/>
  <c r="G100" i="4" s="1"/>
  <c r="H662" i="4"/>
  <c r="G440" i="4"/>
  <c r="H440" i="4" s="1"/>
  <c r="G678" i="4"/>
  <c r="H678" i="4" s="1"/>
  <c r="G467" i="4"/>
  <c r="H505" i="4"/>
  <c r="H506" i="4"/>
  <c r="H102" i="4" l="1"/>
  <c r="G684" i="4"/>
  <c r="F684" i="4"/>
  <c r="H681" i="4"/>
  <c r="H683" i="4"/>
  <c r="H685" i="4"/>
  <c r="G682" i="4"/>
  <c r="F682" i="4"/>
  <c r="H237" i="4"/>
  <c r="G222" i="4"/>
  <c r="F222" i="4"/>
  <c r="H225" i="4"/>
  <c r="G218" i="4"/>
  <c r="F218" i="4"/>
  <c r="H219" i="4"/>
  <c r="H292" i="4"/>
  <c r="H293" i="4"/>
  <c r="H294" i="4"/>
  <c r="H295" i="4"/>
  <c r="H296" i="4"/>
  <c r="H297" i="4"/>
  <c r="H298" i="4"/>
  <c r="H299" i="4"/>
  <c r="H300" i="4"/>
  <c r="H301" i="4"/>
  <c r="H302" i="4"/>
  <c r="H195" i="4"/>
  <c r="H196" i="4"/>
  <c r="H180" i="4"/>
  <c r="H166" i="4"/>
  <c r="H154" i="4"/>
  <c r="G271" i="4"/>
  <c r="F271" i="4"/>
  <c r="H272" i="4"/>
  <c r="H274" i="4"/>
  <c r="H269" i="4"/>
  <c r="H270" i="4"/>
  <c r="G260" i="4"/>
  <c r="H262" i="4"/>
  <c r="G255" i="4"/>
  <c r="H257" i="4"/>
  <c r="F245" i="4"/>
  <c r="H249" i="4"/>
  <c r="H644" i="4"/>
  <c r="G620" i="4"/>
  <c r="G618" i="4" s="1"/>
  <c r="F620" i="4"/>
  <c r="F618" i="4" s="1"/>
  <c r="H619" i="4"/>
  <c r="H621" i="4"/>
  <c r="G588" i="4"/>
  <c r="F588" i="4"/>
  <c r="H589" i="4"/>
  <c r="H586" i="4"/>
  <c r="H513" i="4"/>
  <c r="H512" i="4"/>
  <c r="H514" i="4"/>
  <c r="H511" i="4"/>
  <c r="H475" i="4"/>
  <c r="F467" i="4"/>
  <c r="H466" i="4"/>
  <c r="G465" i="4"/>
  <c r="F465" i="4"/>
  <c r="H399" i="4"/>
  <c r="G397" i="4"/>
  <c r="H395" i="4"/>
  <c r="G394" i="4"/>
  <c r="F394" i="4"/>
  <c r="H328" i="4"/>
  <c r="G327" i="4"/>
  <c r="F327" i="4"/>
  <c r="H321" i="4"/>
  <c r="G320" i="4"/>
  <c r="G307" i="4"/>
  <c r="H311" i="4"/>
  <c r="H667" i="4"/>
  <c r="H571" i="4"/>
  <c r="G680" i="4" l="1"/>
  <c r="H682" i="4"/>
  <c r="H684" i="4"/>
  <c r="F680" i="4"/>
  <c r="H271" i="4"/>
  <c r="H218" i="4"/>
  <c r="H327" i="4"/>
  <c r="H465" i="4"/>
  <c r="H588" i="4"/>
  <c r="H273" i="4"/>
  <c r="H618" i="4"/>
  <c r="H620" i="4"/>
  <c r="H585" i="4"/>
  <c r="H666" i="4"/>
  <c r="F690" i="4"/>
  <c r="F689" i="4"/>
  <c r="F677" i="4"/>
  <c r="F616" i="4"/>
  <c r="F615" i="4"/>
  <c r="F584" i="4"/>
  <c r="H581" i="4"/>
  <c r="F579" i="4"/>
  <c r="F405" i="4"/>
  <c r="F400" i="4"/>
  <c r="F398" i="4"/>
  <c r="F380" i="4"/>
  <c r="F375" i="4"/>
  <c r="F374" i="4"/>
  <c r="F372" i="4"/>
  <c r="F326" i="4"/>
  <c r="H324" i="4"/>
  <c r="F313" i="4"/>
  <c r="F290" i="4"/>
  <c r="F289" i="4" s="1"/>
  <c r="F288" i="4"/>
  <c r="F286" i="4"/>
  <c r="F284" i="4"/>
  <c r="F280" i="4"/>
  <c r="F268" i="4"/>
  <c r="F267" i="4"/>
  <c r="F266" i="4"/>
  <c r="F261" i="4"/>
  <c r="F255" i="4"/>
  <c r="F252" i="4"/>
  <c r="F243" i="4"/>
  <c r="F242" i="4" s="1"/>
  <c r="F233" i="4"/>
  <c r="F232" i="4" s="1"/>
  <c r="F230" i="4" s="1"/>
  <c r="F229" i="4"/>
  <c r="F227" i="4"/>
  <c r="F217" i="4"/>
  <c r="F216" i="4"/>
  <c r="F212" i="4"/>
  <c r="F206" i="4"/>
  <c r="F199" i="4"/>
  <c r="F194" i="4"/>
  <c r="F192" i="4"/>
  <c r="F148" i="4"/>
  <c r="F147" i="4"/>
  <c r="F146" i="4"/>
  <c r="F138" i="4"/>
  <c r="F136" i="4"/>
  <c r="F134" i="4"/>
  <c r="F132" i="4"/>
  <c r="F128" i="4"/>
  <c r="F124" i="4"/>
  <c r="F122" i="4"/>
  <c r="F118" i="4"/>
  <c r="F116" i="4"/>
  <c r="F114" i="4"/>
  <c r="F112" i="4"/>
  <c r="F111" i="4"/>
  <c r="F56" i="4"/>
  <c r="F190" i="4" l="1"/>
  <c r="H680" i="4"/>
  <c r="F320" i="4"/>
  <c r="F260" i="4"/>
  <c r="H261" i="4"/>
  <c r="F397" i="4"/>
  <c r="F654" i="4"/>
  <c r="H645" i="4" l="1"/>
  <c r="H646" i="4"/>
  <c r="H661" i="4" l="1"/>
  <c r="H660" i="4"/>
  <c r="H659" i="4"/>
  <c r="H658" i="4"/>
  <c r="G654" i="4" l="1"/>
  <c r="H657" i="4"/>
  <c r="H690" i="4"/>
  <c r="F688" i="4"/>
  <c r="F686" i="4" s="1"/>
  <c r="H676" i="4"/>
  <c r="H675" i="4"/>
  <c r="H674" i="4"/>
  <c r="H673" i="4"/>
  <c r="H672" i="4"/>
  <c r="H671" i="4"/>
  <c r="F670" i="4"/>
  <c r="F664" i="4" s="1"/>
  <c r="H655" i="4"/>
  <c r="H653" i="4"/>
  <c r="G652" i="4"/>
  <c r="F652" i="4"/>
  <c r="F650" i="4" s="1"/>
  <c r="H651" i="4"/>
  <c r="H647" i="4"/>
  <c r="H643" i="4"/>
  <c r="H642" i="4"/>
  <c r="H637" i="4"/>
  <c r="H636" i="4"/>
  <c r="H635" i="4"/>
  <c r="H634" i="4"/>
  <c r="H633" i="4"/>
  <c r="H632" i="4"/>
  <c r="H631" i="4"/>
  <c r="H629" i="4"/>
  <c r="F628" i="4"/>
  <c r="H627" i="4"/>
  <c r="G626" i="4"/>
  <c r="F626" i="4"/>
  <c r="F624" i="4"/>
  <c r="H623" i="4"/>
  <c r="H617" i="4"/>
  <c r="G616" i="4"/>
  <c r="H616" i="4" s="1"/>
  <c r="F614" i="4"/>
  <c r="F612" i="4" s="1"/>
  <c r="H613" i="4"/>
  <c r="F610" i="4"/>
  <c r="F608" i="4"/>
  <c r="F606" i="4"/>
  <c r="F604" i="4"/>
  <c r="H603" i="4"/>
  <c r="H602" i="4"/>
  <c r="H601" i="4"/>
  <c r="H600" i="4"/>
  <c r="H599" i="4"/>
  <c r="H598" i="4"/>
  <c r="H597" i="4"/>
  <c r="F596" i="4"/>
  <c r="H595" i="4"/>
  <c r="H593" i="4"/>
  <c r="G592" i="4"/>
  <c r="F592" i="4"/>
  <c r="H591" i="4"/>
  <c r="F590" i="4"/>
  <c r="F583" i="4"/>
  <c r="H580" i="4"/>
  <c r="H578" i="4"/>
  <c r="H576" i="4"/>
  <c r="H575" i="4"/>
  <c r="F573" i="4"/>
  <c r="H572" i="4"/>
  <c r="H570" i="4"/>
  <c r="F569" i="4"/>
  <c r="H568" i="4"/>
  <c r="H567" i="4"/>
  <c r="F566" i="4"/>
  <c r="H565" i="4"/>
  <c r="F563" i="4"/>
  <c r="H562" i="4"/>
  <c r="H561" i="4"/>
  <c r="H558" i="4"/>
  <c r="H555" i="4"/>
  <c r="H554" i="4"/>
  <c r="H553" i="4"/>
  <c r="H552" i="4"/>
  <c r="H551" i="4"/>
  <c r="H549" i="4"/>
  <c r="H546" i="4"/>
  <c r="H544" i="4"/>
  <c r="H543" i="4"/>
  <c r="H541" i="4"/>
  <c r="H540" i="4"/>
  <c r="H539" i="4"/>
  <c r="H536" i="4"/>
  <c r="H535" i="4"/>
  <c r="H534" i="4"/>
  <c r="H533" i="4"/>
  <c r="H531" i="4"/>
  <c r="H530" i="4"/>
  <c r="H529" i="4"/>
  <c r="H528" i="4"/>
  <c r="H527" i="4"/>
  <c r="H526" i="4"/>
  <c r="H525" i="4"/>
  <c r="H524" i="4"/>
  <c r="H521" i="4"/>
  <c r="H519" i="4"/>
  <c r="H518" i="4"/>
  <c r="H517" i="4"/>
  <c r="H516" i="4"/>
  <c r="H515" i="4"/>
  <c r="H509" i="4"/>
  <c r="H508" i="4"/>
  <c r="H507" i="4"/>
  <c r="H504" i="4"/>
  <c r="H503" i="4"/>
  <c r="H502" i="4"/>
  <c r="H501" i="4"/>
  <c r="H500" i="4"/>
  <c r="H499" i="4"/>
  <c r="H498" i="4"/>
  <c r="H497" i="4"/>
  <c r="H496" i="4"/>
  <c r="H495" i="4"/>
  <c r="H494" i="4"/>
  <c r="H493" i="4"/>
  <c r="H492" i="4"/>
  <c r="H491" i="4"/>
  <c r="H490" i="4"/>
  <c r="H489" i="4"/>
  <c r="H488" i="4"/>
  <c r="H487" i="4"/>
  <c r="H486" i="4"/>
  <c r="H485" i="4"/>
  <c r="H484" i="4"/>
  <c r="H483" i="4"/>
  <c r="H481" i="4"/>
  <c r="H480" i="4"/>
  <c r="H479" i="4"/>
  <c r="H478" i="4"/>
  <c r="H477" i="4"/>
  <c r="H476" i="4"/>
  <c r="H482" i="4"/>
  <c r="H474" i="4"/>
  <c r="H471" i="4"/>
  <c r="H470" i="4"/>
  <c r="H469" i="4"/>
  <c r="H468" i="4"/>
  <c r="H464" i="4"/>
  <c r="H462" i="4"/>
  <c r="H461" i="4"/>
  <c r="H460" i="4"/>
  <c r="H459" i="4"/>
  <c r="H458" i="4"/>
  <c r="H457" i="4"/>
  <c r="H456" i="4"/>
  <c r="H455" i="4"/>
  <c r="H454" i="4"/>
  <c r="H453" i="4"/>
  <c r="H452" i="4"/>
  <c r="H451" i="4"/>
  <c r="H450" i="4"/>
  <c r="H449" i="4"/>
  <c r="H448" i="4"/>
  <c r="F447" i="4"/>
  <c r="H446" i="4"/>
  <c r="H445" i="4"/>
  <c r="H444" i="4"/>
  <c r="F442" i="4"/>
  <c r="H439" i="4"/>
  <c r="H438" i="4"/>
  <c r="H437" i="4"/>
  <c r="H435" i="4"/>
  <c r="H434" i="4"/>
  <c r="H433" i="4"/>
  <c r="H432" i="4"/>
  <c r="H431" i="4"/>
  <c r="H430" i="4"/>
  <c r="H429" i="4"/>
  <c r="H428" i="4"/>
  <c r="H427" i="4"/>
  <c r="H426" i="4"/>
  <c r="H425" i="4"/>
  <c r="H424" i="4"/>
  <c r="H423" i="4"/>
  <c r="H422" i="4"/>
  <c r="F421" i="4"/>
  <c r="H420" i="4"/>
  <c r="H418" i="4"/>
  <c r="H417" i="4"/>
  <c r="H416" i="4"/>
  <c r="F414" i="4"/>
  <c r="H413" i="4"/>
  <c r="G412" i="4"/>
  <c r="F412" i="4"/>
  <c r="H411" i="4"/>
  <c r="F408" i="4"/>
  <c r="F406" i="4" s="1"/>
  <c r="H407" i="4"/>
  <c r="G404" i="4"/>
  <c r="F404" i="4"/>
  <c r="H403" i="4"/>
  <c r="H402" i="4"/>
  <c r="F401" i="4"/>
  <c r="H400" i="4"/>
  <c r="H398" i="4"/>
  <c r="H396" i="4"/>
  <c r="H393" i="4"/>
  <c r="G392" i="4"/>
  <c r="F392" i="4"/>
  <c r="H391" i="4"/>
  <c r="F388" i="4"/>
  <c r="G388" i="4"/>
  <c r="G386" i="4" s="1"/>
  <c r="H387" i="4"/>
  <c r="H385" i="4"/>
  <c r="F383" i="4"/>
  <c r="H382" i="4"/>
  <c r="G381" i="4"/>
  <c r="F381" i="4"/>
  <c r="H380" i="4"/>
  <c r="H379" i="4"/>
  <c r="F378" i="4"/>
  <c r="H377" i="4"/>
  <c r="H375" i="4"/>
  <c r="G371" i="4"/>
  <c r="F371" i="4"/>
  <c r="G369" i="4"/>
  <c r="F369" i="4"/>
  <c r="F367" i="4"/>
  <c r="H366" i="4"/>
  <c r="H365" i="4"/>
  <c r="F363" i="4"/>
  <c r="H362" i="4"/>
  <c r="F359" i="4"/>
  <c r="H358" i="4"/>
  <c r="H357" i="4"/>
  <c r="F356" i="4"/>
  <c r="H355" i="4"/>
  <c r="H354" i="4"/>
  <c r="F353" i="4"/>
  <c r="H352" i="4"/>
  <c r="G351" i="4"/>
  <c r="F351" i="4"/>
  <c r="H350" i="4"/>
  <c r="G349" i="4"/>
  <c r="F349" i="4"/>
  <c r="H348" i="4"/>
  <c r="G347" i="4"/>
  <c r="F347" i="4"/>
  <c r="H346" i="4"/>
  <c r="H344" i="4"/>
  <c r="F343" i="4"/>
  <c r="H342" i="4"/>
  <c r="F341" i="4"/>
  <c r="H340" i="4"/>
  <c r="H339" i="4"/>
  <c r="H338" i="4"/>
  <c r="H335" i="4"/>
  <c r="H334" i="4"/>
  <c r="H333" i="4"/>
  <c r="H330" i="4"/>
  <c r="F325" i="4"/>
  <c r="H323" i="4"/>
  <c r="G318" i="4"/>
  <c r="F318" i="4"/>
  <c r="H317" i="4"/>
  <c r="H316" i="4"/>
  <c r="H315" i="4"/>
  <c r="F314" i="4"/>
  <c r="H313" i="4"/>
  <c r="H312" i="4"/>
  <c r="H309" i="4"/>
  <c r="H308" i="4"/>
  <c r="F307" i="4"/>
  <c r="H306" i="4"/>
  <c r="F287" i="4"/>
  <c r="G285" i="4"/>
  <c r="F285" i="4"/>
  <c r="F281" i="4"/>
  <c r="F278" i="4" s="1"/>
  <c r="G278" i="4"/>
  <c r="H279" i="4"/>
  <c r="H268" i="4"/>
  <c r="H267" i="4"/>
  <c r="H266" i="4"/>
  <c r="H264" i="4"/>
  <c r="F259" i="4"/>
  <c r="F258" i="4" s="1"/>
  <c r="F253" i="4" s="1"/>
  <c r="G258" i="4"/>
  <c r="H254" i="4"/>
  <c r="G251" i="4"/>
  <c r="F251" i="4"/>
  <c r="H250" i="4"/>
  <c r="H248" i="4"/>
  <c r="H241" i="4"/>
  <c r="H233" i="4"/>
  <c r="H229" i="4"/>
  <c r="G228" i="4"/>
  <c r="F228" i="4"/>
  <c r="F226" i="4"/>
  <c r="H223" i="4"/>
  <c r="H217" i="4"/>
  <c r="F215" i="4"/>
  <c r="G211" i="4"/>
  <c r="F211" i="4"/>
  <c r="G207" i="4"/>
  <c r="F207" i="4"/>
  <c r="H206" i="4"/>
  <c r="G205" i="4"/>
  <c r="F205" i="4"/>
  <c r="H204" i="4"/>
  <c r="F202" i="4"/>
  <c r="H199" i="4"/>
  <c r="G198" i="4"/>
  <c r="F198" i="4"/>
  <c r="H194" i="4"/>
  <c r="H189" i="4"/>
  <c r="H187" i="4"/>
  <c r="H184" i="4"/>
  <c r="H182" i="4"/>
  <c r="H179" i="4"/>
  <c r="H178" i="4"/>
  <c r="H176" i="4"/>
  <c r="H175" i="4"/>
  <c r="H174" i="4"/>
  <c r="F173" i="4"/>
  <c r="H170" i="4"/>
  <c r="H169" i="4"/>
  <c r="H168" i="4"/>
  <c r="H165" i="4"/>
  <c r="H164" i="4"/>
  <c r="H163" i="4"/>
  <c r="H162" i="4"/>
  <c r="F161" i="4"/>
  <c r="H160" i="4"/>
  <c r="F159" i="4"/>
  <c r="H158" i="4"/>
  <c r="H157" i="4"/>
  <c r="H156" i="4"/>
  <c r="H155" i="4"/>
  <c r="H153" i="4"/>
  <c r="H152" i="4"/>
  <c r="H151" i="4"/>
  <c r="H150" i="4"/>
  <c r="F149" i="4"/>
  <c r="H148" i="4"/>
  <c r="H147" i="4"/>
  <c r="H146" i="4"/>
  <c r="F145" i="4"/>
  <c r="G137" i="4"/>
  <c r="F137" i="4"/>
  <c r="F135" i="4"/>
  <c r="G133" i="4"/>
  <c r="F133" i="4"/>
  <c r="G131" i="4"/>
  <c r="F131" i="4"/>
  <c r="G127" i="4"/>
  <c r="F127" i="4"/>
  <c r="G123" i="4"/>
  <c r="F123" i="4"/>
  <c r="F121" i="4"/>
  <c r="F117" i="4"/>
  <c r="G115" i="4"/>
  <c r="F115" i="4"/>
  <c r="H114" i="4"/>
  <c r="F113" i="4"/>
  <c r="H112" i="4"/>
  <c r="H111" i="4"/>
  <c r="F109" i="4"/>
  <c r="H108" i="4"/>
  <c r="H107" i="4"/>
  <c r="F106" i="4"/>
  <c r="H97" i="4"/>
  <c r="G96" i="4"/>
  <c r="F96" i="4"/>
  <c r="H95" i="4"/>
  <c r="G94" i="4"/>
  <c r="F94" i="4"/>
  <c r="H93" i="4"/>
  <c r="H91" i="4"/>
  <c r="G90" i="4"/>
  <c r="G88" i="4" s="1"/>
  <c r="F90" i="4"/>
  <c r="H89" i="4"/>
  <c r="H87" i="4"/>
  <c r="H86" i="4"/>
  <c r="G85" i="4"/>
  <c r="F85" i="4"/>
  <c r="H84" i="4"/>
  <c r="H83" i="4"/>
  <c r="H82" i="4"/>
  <c r="G81" i="4"/>
  <c r="F81" i="4"/>
  <c r="H80" i="4"/>
  <c r="G79" i="4"/>
  <c r="F79" i="4"/>
  <c r="H78" i="4"/>
  <c r="H77" i="4"/>
  <c r="H76" i="4"/>
  <c r="G75" i="4"/>
  <c r="F75" i="4"/>
  <c r="H74" i="4"/>
  <c r="H73" i="4"/>
  <c r="H72" i="4"/>
  <c r="H71" i="4"/>
  <c r="H70" i="4"/>
  <c r="H69" i="4"/>
  <c r="H68" i="4"/>
  <c r="H67" i="4"/>
  <c r="H66" i="4"/>
  <c r="H65" i="4"/>
  <c r="H64" i="4"/>
  <c r="H63" i="4"/>
  <c r="G62" i="4"/>
  <c r="F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F43" i="4"/>
  <c r="H42" i="4"/>
  <c r="H40" i="4"/>
  <c r="H39" i="4"/>
  <c r="H38" i="4"/>
  <c r="H37" i="4"/>
  <c r="G36" i="4"/>
  <c r="F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G19" i="4"/>
  <c r="F19" i="4"/>
  <c r="H18" i="4"/>
  <c r="H16" i="4"/>
  <c r="G15" i="4"/>
  <c r="G13" i="4" s="1"/>
  <c r="F15" i="4"/>
  <c r="H14" i="4"/>
  <c r="H12" i="4"/>
  <c r="G11" i="4"/>
  <c r="G9" i="4" s="1"/>
  <c r="F11" i="4"/>
  <c r="H10" i="4"/>
  <c r="G650" i="4" l="1"/>
  <c r="F119" i="4"/>
  <c r="F209" i="4"/>
  <c r="F171" i="4"/>
  <c r="F410" i="4"/>
  <c r="F220" i="4"/>
  <c r="F305" i="4"/>
  <c r="F577" i="4"/>
  <c r="F594" i="4"/>
  <c r="F390" i="4"/>
  <c r="H388" i="4"/>
  <c r="G17" i="4"/>
  <c r="H19" i="4"/>
  <c r="H75" i="4"/>
  <c r="G113" i="4"/>
  <c r="H113" i="4" s="1"/>
  <c r="H131" i="4"/>
  <c r="H371" i="4"/>
  <c r="F548" i="4"/>
  <c r="H228" i="4"/>
  <c r="H550" i="4"/>
  <c r="H62" i="4"/>
  <c r="H79" i="4"/>
  <c r="H90" i="4"/>
  <c r="H94" i="4"/>
  <c r="G92" i="4"/>
  <c r="H133" i="4"/>
  <c r="H137" i="4"/>
  <c r="H242" i="4"/>
  <c r="H251" i="4"/>
  <c r="G356" i="4"/>
  <c r="H356" i="4" s="1"/>
  <c r="G378" i="4"/>
  <c r="H378" i="4" s="1"/>
  <c r="H11" i="4"/>
  <c r="H15" i="4"/>
  <c r="G43" i="4"/>
  <c r="G41" i="4" s="1"/>
  <c r="G202" i="4"/>
  <c r="H280" i="4"/>
  <c r="G590" i="4"/>
  <c r="H590" i="4" s="1"/>
  <c r="H609" i="4"/>
  <c r="H285" i="4"/>
  <c r="H318" i="4"/>
  <c r="G442" i="4"/>
  <c r="H442" i="4" s="1"/>
  <c r="G573" i="4"/>
  <c r="H573" i="4" s="1"/>
  <c r="H652" i="4"/>
  <c r="F9" i="4"/>
  <c r="H9" i="4" s="1"/>
  <c r="G109" i="4"/>
  <c r="H109" i="4" s="1"/>
  <c r="H124" i="4"/>
  <c r="H243" i="4"/>
  <c r="H278" i="4"/>
  <c r="F104" i="4"/>
  <c r="H123" i="4"/>
  <c r="G145" i="4"/>
  <c r="H145" i="4" s="1"/>
  <c r="H347" i="4"/>
  <c r="H372" i="4"/>
  <c r="H389" i="4"/>
  <c r="G414" i="4"/>
  <c r="H414" i="4" s="1"/>
  <c r="F522" i="4"/>
  <c r="F13" i="4"/>
  <c r="H13" i="4" s="1"/>
  <c r="H190" i="4"/>
  <c r="H290" i="4"/>
  <c r="G341" i="4"/>
  <c r="H341" i="4" s="1"/>
  <c r="G383" i="4"/>
  <c r="H383" i="4" s="1"/>
  <c r="G401" i="4"/>
  <c r="H401" i="4" s="1"/>
  <c r="H556" i="4"/>
  <c r="H222" i="4"/>
  <c r="G265" i="4"/>
  <c r="G263" i="4" s="1"/>
  <c r="H368" i="4"/>
  <c r="G367" i="4"/>
  <c r="H367" i="4" s="1"/>
  <c r="F92" i="4"/>
  <c r="G282" i="4"/>
  <c r="H110" i="4"/>
  <c r="H132" i="4"/>
  <c r="H138" i="4"/>
  <c r="G173" i="4"/>
  <c r="H173" i="4" s="1"/>
  <c r="H246" i="4"/>
  <c r="H259" i="4"/>
  <c r="H281" i="4"/>
  <c r="H319" i="4"/>
  <c r="G608" i="4"/>
  <c r="H608" i="4" s="1"/>
  <c r="H81" i="4"/>
  <c r="H85" i="4"/>
  <c r="F88" i="4"/>
  <c r="H88" i="4" s="1"/>
  <c r="H96" i="4"/>
  <c r="H128" i="4"/>
  <c r="G159" i="4"/>
  <c r="H159" i="4" s="1"/>
  <c r="H260" i="4"/>
  <c r="H289" i="4"/>
  <c r="G314" i="4"/>
  <c r="H314" i="4" s="1"/>
  <c r="H351" i="4"/>
  <c r="G359" i="4"/>
  <c r="H359" i="4" s="1"/>
  <c r="H360" i="4"/>
  <c r="H370" i="4"/>
  <c r="H397" i="4"/>
  <c r="H443" i="4"/>
  <c r="G583" i="4"/>
  <c r="H583" i="4" s="1"/>
  <c r="H584" i="4"/>
  <c r="H384" i="4"/>
  <c r="H415" i="4"/>
  <c r="H574" i="4"/>
  <c r="H198" i="4"/>
  <c r="H205" i="4"/>
  <c r="H207" i="4"/>
  <c r="H258" i="4"/>
  <c r="G331" i="4"/>
  <c r="H331" i="4" s="1"/>
  <c r="H349" i="4"/>
  <c r="H392" i="4"/>
  <c r="H394" i="4"/>
  <c r="H654" i="4"/>
  <c r="G569" i="4"/>
  <c r="H569" i="4" s="1"/>
  <c r="G610" i="4"/>
  <c r="H610" i="4" s="1"/>
  <c r="H611" i="4"/>
  <c r="G121" i="4"/>
  <c r="G119" i="4" s="1"/>
  <c r="H122" i="4"/>
  <c r="H192" i="4"/>
  <c r="H211" i="4"/>
  <c r="F240" i="4"/>
  <c r="H582" i="4"/>
  <c r="G579" i="4"/>
  <c r="H579" i="4" s="1"/>
  <c r="H592" i="4"/>
  <c r="G106" i="4"/>
  <c r="H106" i="4" s="1"/>
  <c r="H134" i="4"/>
  <c r="G161" i="4"/>
  <c r="H161" i="4" s="1"/>
  <c r="H203" i="4"/>
  <c r="G215" i="4"/>
  <c r="G209" i="4" s="1"/>
  <c r="H216" i="4"/>
  <c r="G226" i="4"/>
  <c r="H226" i="4" s="1"/>
  <c r="H227" i="4"/>
  <c r="G245" i="4"/>
  <c r="G240" i="4" s="1"/>
  <c r="H252" i="4"/>
  <c r="H283" i="4"/>
  <c r="F282" i="4"/>
  <c r="F276" i="4" s="1"/>
  <c r="G287" i="4"/>
  <c r="H288" i="4"/>
  <c r="H307" i="4"/>
  <c r="H322" i="4"/>
  <c r="H320" i="4"/>
  <c r="G343" i="4"/>
  <c r="H343" i="4" s="1"/>
  <c r="H345" i="4"/>
  <c r="G353" i="4"/>
  <c r="H353" i="4" s="1"/>
  <c r="H404" i="4"/>
  <c r="H547" i="4"/>
  <c r="G522" i="4"/>
  <c r="F557" i="4"/>
  <c r="H559" i="4"/>
  <c r="G604" i="4"/>
  <c r="H604" i="4" s="1"/>
  <c r="H605" i="4"/>
  <c r="H677" i="4"/>
  <c r="G670" i="4"/>
  <c r="G117" i="4"/>
  <c r="H117" i="4" s="1"/>
  <c r="H118" i="4"/>
  <c r="F373" i="4"/>
  <c r="H412" i="4"/>
  <c r="G606" i="4"/>
  <c r="H606" i="4" s="1"/>
  <c r="H607" i="4"/>
  <c r="F41" i="4"/>
  <c r="H116" i="4"/>
  <c r="G135" i="4"/>
  <c r="H135" i="4" s="1"/>
  <c r="H136" i="4"/>
  <c r="H36" i="4"/>
  <c r="F17" i="4"/>
  <c r="H115" i="4"/>
  <c r="H127" i="4"/>
  <c r="F129" i="4"/>
  <c r="F143" i="4"/>
  <c r="G149" i="4"/>
  <c r="H208" i="4"/>
  <c r="H212" i="4"/>
  <c r="H256" i="4"/>
  <c r="H286" i="4"/>
  <c r="H326" i="4"/>
  <c r="G325" i="4"/>
  <c r="H325" i="4" s="1"/>
  <c r="G336" i="4"/>
  <c r="H336" i="4" s="1"/>
  <c r="H337" i="4"/>
  <c r="H472" i="4"/>
  <c r="G563" i="4"/>
  <c r="H563" i="4" s="1"/>
  <c r="H564" i="4"/>
  <c r="G566" i="4"/>
  <c r="H566" i="4" s="1"/>
  <c r="G363" i="4"/>
  <c r="H364" i="4"/>
  <c r="H369" i="4"/>
  <c r="F329" i="4"/>
  <c r="H332" i="4"/>
  <c r="H381" i="4"/>
  <c r="F376" i="4"/>
  <c r="F386" i="4"/>
  <c r="H386" i="4" s="1"/>
  <c r="H405" i="4"/>
  <c r="G548" i="4"/>
  <c r="G557" i="4"/>
  <c r="H626" i="4"/>
  <c r="F622" i="4"/>
  <c r="G688" i="4"/>
  <c r="H689" i="4"/>
  <c r="G373" i="4"/>
  <c r="H374" i="4"/>
  <c r="G408" i="4"/>
  <c r="H409" i="4"/>
  <c r="G421" i="4"/>
  <c r="G447" i="4"/>
  <c r="G596" i="4"/>
  <c r="G614" i="4"/>
  <c r="H615" i="4"/>
  <c r="G624" i="4"/>
  <c r="H625" i="4"/>
  <c r="H630" i="4"/>
  <c r="G628" i="4"/>
  <c r="H628" i="4" s="1"/>
  <c r="H202" i="4" l="1"/>
  <c r="G171" i="4"/>
  <c r="H171" i="4" s="1"/>
  <c r="H408" i="4"/>
  <c r="G406" i="4"/>
  <c r="H406" i="4" s="1"/>
  <c r="F238" i="4"/>
  <c r="G664" i="4"/>
  <c r="H664" i="4" s="1"/>
  <c r="H447" i="4"/>
  <c r="G410" i="4"/>
  <c r="H410" i="4" s="1"/>
  <c r="G220" i="4"/>
  <c r="H220" i="4" s="1"/>
  <c r="H215" i="4"/>
  <c r="H209" i="4"/>
  <c r="F463" i="4"/>
  <c r="G577" i="4"/>
  <c r="H577" i="4" s="1"/>
  <c r="G305" i="4"/>
  <c r="H305" i="4" s="1"/>
  <c r="F265" i="4"/>
  <c r="F263" i="4" s="1"/>
  <c r="G463" i="4"/>
  <c r="G594" i="4"/>
  <c r="H594" i="4" s="1"/>
  <c r="G390" i="4"/>
  <c r="H390" i="4" s="1"/>
  <c r="H548" i="4"/>
  <c r="H522" i="4"/>
  <c r="H670" i="4"/>
  <c r="H17" i="4"/>
  <c r="G376" i="4"/>
  <c r="H376" i="4" s="1"/>
  <c r="H92" i="4"/>
  <c r="G98" i="4"/>
  <c r="H43" i="4"/>
  <c r="H230" i="4"/>
  <c r="H41" i="4"/>
  <c r="H232" i="4"/>
  <c r="G143" i="4"/>
  <c r="H143" i="4" s="1"/>
  <c r="H282" i="4"/>
  <c r="G129" i="4"/>
  <c r="H129" i="4" s="1"/>
  <c r="H421" i="4"/>
  <c r="H650" i="4"/>
  <c r="H373" i="4"/>
  <c r="H240" i="4"/>
  <c r="H467" i="4"/>
  <c r="H119" i="4"/>
  <c r="H121" i="4"/>
  <c r="F361" i="4"/>
  <c r="G276" i="4"/>
  <c r="H276" i="4" s="1"/>
  <c r="H287" i="4"/>
  <c r="F98" i="4"/>
  <c r="G612" i="4"/>
  <c r="H612" i="4" s="1"/>
  <c r="H614" i="4"/>
  <c r="G253" i="4"/>
  <c r="H253" i="4" s="1"/>
  <c r="H255" i="4"/>
  <c r="G361" i="4"/>
  <c r="H363" i="4"/>
  <c r="G104" i="4"/>
  <c r="G329" i="4"/>
  <c r="H329" i="4" s="1"/>
  <c r="G622" i="4"/>
  <c r="H624" i="4"/>
  <c r="H688" i="4"/>
  <c r="G686" i="4"/>
  <c r="H686" i="4" s="1"/>
  <c r="H596" i="4"/>
  <c r="H557" i="4"/>
  <c r="H149" i="4"/>
  <c r="H245" i="4"/>
  <c r="F303" i="4" l="1"/>
  <c r="G238" i="4"/>
  <c r="F648" i="4"/>
  <c r="F691" i="4" s="1"/>
  <c r="H100" i="4"/>
  <c r="G648" i="4"/>
  <c r="G691" i="4" s="1"/>
  <c r="H263" i="4"/>
  <c r="H265" i="4"/>
  <c r="H98" i="4"/>
  <c r="H361" i="4"/>
  <c r="H463" i="4"/>
  <c r="H104" i="4"/>
  <c r="H622" i="4"/>
  <c r="G303" i="4" l="1"/>
  <c r="G692" i="4" s="1"/>
  <c r="H238" i="4"/>
  <c r="H303" i="4" s="1"/>
  <c r="H648" i="4"/>
  <c r="H691" i="4" s="1"/>
  <c r="F692" i="4"/>
  <c r="H692" i="4" l="1"/>
</calcChain>
</file>

<file path=xl/sharedStrings.xml><?xml version="1.0" encoding="utf-8"?>
<sst xmlns="http://schemas.openxmlformats.org/spreadsheetml/2006/main" count="1139" uniqueCount="544">
  <si>
    <t>Код Функціональної класифікації видатків та кредитування бюджету</t>
  </si>
  <si>
    <t>1600000</t>
  </si>
  <si>
    <t>Управління архітектури, дизайну та містобудівної діяльності</t>
  </si>
  <si>
    <t>1610000</t>
  </si>
  <si>
    <t>0160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</si>
  <si>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</si>
  <si>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</si>
  <si>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1617670</t>
  </si>
  <si>
    <t>7670</t>
  </si>
  <si>
    <t>0490</t>
  </si>
  <si>
    <t>Внески до статутного капіталу суб’єктів господарювання</t>
  </si>
  <si>
    <t>Департамент культури виконавчого комітету міської ради</t>
  </si>
  <si>
    <t>1010160</t>
  </si>
  <si>
    <t>1100</t>
  </si>
  <si>
    <t>0960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</si>
  <si>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</si>
  <si>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</si>
  <si>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</si>
  <si>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1900000</t>
  </si>
  <si>
    <t>Управління транспорту та зв'язку</t>
  </si>
  <si>
    <t>1910000</t>
  </si>
  <si>
    <t>Організація благоустрою населених пунктів</t>
  </si>
  <si>
    <t>Будівництво1 об'єктів житлово-комунального господарства</t>
  </si>
  <si>
    <t>1917670</t>
  </si>
  <si>
    <t>1917310</t>
  </si>
  <si>
    <t>7310</t>
  </si>
  <si>
    <t>0443</t>
  </si>
  <si>
    <t>1916030</t>
  </si>
  <si>
    <t>6030</t>
  </si>
  <si>
    <t>0620</t>
  </si>
  <si>
    <t>3700000</t>
  </si>
  <si>
    <t>Фінансове управління виконавчого комітету міської ради</t>
  </si>
  <si>
    <t>3710000</t>
  </si>
  <si>
    <t>3710160</t>
  </si>
  <si>
    <t>3710180</t>
  </si>
  <si>
    <t>0180</t>
  </si>
  <si>
    <t>0133</t>
  </si>
  <si>
    <t>Інша діяльність у сфері державного управління</t>
  </si>
  <si>
    <t>3719770</t>
  </si>
  <si>
    <t>9770</t>
  </si>
  <si>
    <t>Інші субвенції з місцевого бюджету</t>
  </si>
  <si>
    <t xml:space="preserve">Придбання комп'ютерної техніки та периферійного обладнання </t>
  </si>
  <si>
    <t>0800000</t>
  </si>
  <si>
    <t>Департамент соціальної політики виконавчого комітету міської ради</t>
  </si>
  <si>
    <t>0810000</t>
  </si>
  <si>
    <t>0810160</t>
  </si>
  <si>
    <t>0813031</t>
  </si>
  <si>
    <t>3031</t>
  </si>
  <si>
    <t>1030</t>
  </si>
  <si>
    <t>Надання інших пільг окремим категоріям громадян відповідно до законодавства</t>
  </si>
  <si>
    <t>1020</t>
  </si>
  <si>
    <t>0610</t>
  </si>
  <si>
    <t>1090</t>
  </si>
  <si>
    <t>Придбання обладнання і предметів довгострокового користування</t>
  </si>
  <si>
    <t>1610160</t>
  </si>
  <si>
    <t>7330</t>
  </si>
  <si>
    <t>1617340</t>
  </si>
  <si>
    <t>7340</t>
  </si>
  <si>
    <t>Проектування, реставрація та охорона пам'яток архітектури</t>
  </si>
  <si>
    <t>0700000</t>
  </si>
  <si>
    <t>Управління охорони здоров'я</t>
  </si>
  <si>
    <t>0710000</t>
  </si>
  <si>
    <t>0712010</t>
  </si>
  <si>
    <t>2010</t>
  </si>
  <si>
    <t>0731</t>
  </si>
  <si>
    <t>Багатопрофільна стаціонарна медична допомога населенню</t>
  </si>
  <si>
    <t>0712030</t>
  </si>
  <si>
    <t>2030</t>
  </si>
  <si>
    <t>0733</t>
  </si>
  <si>
    <t>Лікарсько-акушерська допомога  вагітним, породіллям та новонародженим</t>
  </si>
  <si>
    <t>0712080</t>
  </si>
  <si>
    <t>2080</t>
  </si>
  <si>
    <t>0721</t>
  </si>
  <si>
    <t>Амбулаторно-поліклінічна допомога населенню, крім первинної медичної допомоги</t>
  </si>
  <si>
    <t>Придбання обладнання та комп'ютерної техніки</t>
  </si>
  <si>
    <t>Капітальний ремонт житла особам з інвалідністю внаслідок війни</t>
  </si>
  <si>
    <t>1517310</t>
  </si>
  <si>
    <t>1517321</t>
  </si>
  <si>
    <t>1517324</t>
  </si>
  <si>
    <t>1517325</t>
  </si>
  <si>
    <t>1517330</t>
  </si>
  <si>
    <t>1517340</t>
  </si>
  <si>
    <t>Управління капітального будівництва виконавчого комітету міської ради</t>
  </si>
  <si>
    <t>Надання дошкільної освіти</t>
  </si>
  <si>
    <t>Капітальний ремонт вул. Надрічна (старої частини) в м. Івано-Франківську</t>
  </si>
  <si>
    <t>Будівництво доріг</t>
  </si>
  <si>
    <t>Будівництво моста через річку Бистриця Солотвинська та транспортної розв'язки в районі вул. Хіміків - Надрічна /ПВР + роботи/ ( І черга – «Будівництво транспортної розв’язки по вул. Надрічна в м. Івано-Франківську /ПВР + роботи/»)</t>
  </si>
  <si>
    <t>Будівництво моста через річку Бистриця Солотвинська та транспортної розв'язки в районі вул. Хіміків - Надрічна /ПВР + роботи/ (ІІ черга – «Будівництво вулиці Хіміків на ділянці від ЗОШ № 24 до річки Бистриця Солотвинська в м. Івано-Франківську /ПВР + роботи/»)</t>
  </si>
  <si>
    <t>Будівництво моста через річку Бистриця Солотвинська та транспортної розв'язки в районі вул. Хіміків - Надрічна /ПВР + роботи/ (ІІІ черга – «Будівництво моста через річку Бистриця Солотвинська в районі вул. Хіміків - Надрічна /ПВР + роботи/»)</t>
  </si>
  <si>
    <t>Будівництво1 освітніх установ та закладів</t>
  </si>
  <si>
    <t>Дитячий садок в с. Крихівці Івано-Франківської міської ради (нове будівництво)</t>
  </si>
  <si>
    <t xml:space="preserve">Реконструкція дитячого садочка на вул. Гната Хоткевича, 11-А </t>
  </si>
  <si>
    <t>Будівництво1 установ та закладів культури</t>
  </si>
  <si>
    <t>Будівництво1 споруд, установ та закладів фізичної культури і спорту</t>
  </si>
  <si>
    <t>Будівництво басейну в ФОК</t>
  </si>
  <si>
    <t>Будівництво1 інших об'єктів  комунальної власності</t>
  </si>
  <si>
    <t>1010</t>
  </si>
  <si>
    <t>0910</t>
  </si>
  <si>
    <t>7321</t>
  </si>
  <si>
    <t>7324</t>
  </si>
  <si>
    <t>7325</t>
  </si>
  <si>
    <t>1517370</t>
  </si>
  <si>
    <t>7370</t>
  </si>
  <si>
    <t>Реалізація інших заходів щодо соціально-економічного розвитку територій</t>
  </si>
  <si>
    <t xml:space="preserve">Фінансова підтримка культово-релігійним громадам </t>
  </si>
  <si>
    <t>1917411</t>
  </si>
  <si>
    <t>7411</t>
  </si>
  <si>
    <t>0451</t>
  </si>
  <si>
    <t>Утримання та розвиток автотранспорту</t>
  </si>
  <si>
    <t>1917421</t>
  </si>
  <si>
    <t>7421</t>
  </si>
  <si>
    <t>0453</t>
  </si>
  <si>
    <t xml:space="preserve">Утримання та розвиток наземного електротранспорту </t>
  </si>
  <si>
    <t>0810</t>
  </si>
  <si>
    <t>Утримання та фінансова підтримка спортивних споруд</t>
  </si>
  <si>
    <t>5041</t>
  </si>
  <si>
    <t>Департамент житлової, комунальної політики та благоустрою виконавчого комітету міської ради</t>
  </si>
  <si>
    <t>1210160</t>
  </si>
  <si>
    <t>1216011</t>
  </si>
  <si>
    <t>6011</t>
  </si>
  <si>
    <t>Експлуатація та технічне обслуговування житлового фонду</t>
  </si>
  <si>
    <t>1216030</t>
  </si>
  <si>
    <t>1217310</t>
  </si>
  <si>
    <t>1217670</t>
  </si>
  <si>
    <t>Придбання основних засобів</t>
  </si>
  <si>
    <t>Будівництво та реконструкція об'єктів житлово-комунального господарства</t>
  </si>
  <si>
    <r>
      <t xml:space="preserve">Внески в статутний фонд </t>
    </r>
    <r>
      <rPr>
        <b/>
        <sz val="14"/>
        <rFont val="Times New Roman"/>
        <family val="1"/>
        <charset val="204"/>
      </rPr>
      <t>КП "Муніципальна дорожня компанія"</t>
    </r>
    <r>
      <rPr>
        <sz val="14"/>
        <rFont val="Times New Roman"/>
        <family val="1"/>
        <charset val="204"/>
      </rPr>
      <t xml:space="preserve"> для формування фонду власних оборотних засобів і засобів обігу</t>
    </r>
  </si>
  <si>
    <r>
      <t xml:space="preserve">Внески в статутний фонд </t>
    </r>
    <r>
      <rPr>
        <b/>
        <sz val="14"/>
        <rFont val="Times New Roman"/>
        <family val="1"/>
        <charset val="204"/>
      </rPr>
      <t>КП "Івано-Франківськміськсвітло"</t>
    </r>
    <r>
      <rPr>
        <sz val="14"/>
        <rFont val="Times New Roman"/>
        <family val="1"/>
        <charset val="204"/>
      </rPr>
      <t xml:space="preserve"> для формування фонду власних оборотних засобів і засобів обігу</t>
    </r>
  </si>
  <si>
    <r>
      <t xml:space="preserve">Внески в статутний фонд </t>
    </r>
    <r>
      <rPr>
        <b/>
        <sz val="14"/>
        <rFont val="Times New Roman"/>
        <family val="1"/>
        <charset val="204"/>
      </rPr>
      <t xml:space="preserve">КП "Центр розвитку міста та рекреації" </t>
    </r>
    <r>
      <rPr>
        <sz val="14"/>
        <rFont val="Times New Roman"/>
        <family val="1"/>
        <charset val="204"/>
      </rPr>
      <t>для формування фонду власних оборотних засобів і засобів обігу</t>
    </r>
  </si>
  <si>
    <r>
      <t xml:space="preserve">Внески в статутний фонд </t>
    </r>
    <r>
      <rPr>
        <b/>
        <sz val="14"/>
        <rFont val="Times New Roman"/>
        <family val="1"/>
        <charset val="204"/>
      </rPr>
      <t xml:space="preserve">КП "Дирекція замовника" </t>
    </r>
    <r>
      <rPr>
        <sz val="14"/>
        <rFont val="Times New Roman"/>
        <family val="1"/>
        <charset val="204"/>
      </rPr>
      <t>для формування фонду власних оборотних засобів і засобів обігу (для модернізації житлового фонду)</t>
    </r>
  </si>
  <si>
    <r>
      <t xml:space="preserve">Внески в статутний фонд </t>
    </r>
    <r>
      <rPr>
        <b/>
        <sz val="14"/>
        <rFont val="Times New Roman"/>
        <family val="1"/>
        <charset val="204"/>
      </rPr>
      <t xml:space="preserve">КП "Полігон ТПВ" </t>
    </r>
    <r>
      <rPr>
        <sz val="14"/>
        <rFont val="Times New Roman"/>
        <family val="1"/>
        <charset val="204"/>
      </rPr>
      <t>для формування фонду власних оборотних засобів і засобів обігу</t>
    </r>
  </si>
  <si>
    <r>
      <t>Внески в статутний фонд</t>
    </r>
    <r>
      <rPr>
        <b/>
        <sz val="14"/>
        <rFont val="Times New Roman"/>
        <family val="1"/>
        <charset val="204"/>
      </rPr>
      <t xml:space="preserve"> ДМП «Івано-Франківськтеплокомуненерго» </t>
    </r>
    <r>
      <rPr>
        <sz val="14"/>
        <rFont val="Times New Roman"/>
        <family val="1"/>
        <charset val="204"/>
      </rPr>
      <t xml:space="preserve">для формування фонду власних оборотних засобів і засобів обігу   </t>
    </r>
  </si>
  <si>
    <r>
      <t xml:space="preserve">Внески в статутний фонд </t>
    </r>
    <r>
      <rPr>
        <b/>
        <sz val="14"/>
        <rFont val="Times New Roman"/>
        <family val="1"/>
        <charset val="204"/>
      </rPr>
      <t>КП "Міська ритуальна служба"</t>
    </r>
    <r>
      <rPr>
        <sz val="14"/>
        <rFont val="Times New Roman"/>
        <family val="1"/>
        <charset val="204"/>
      </rPr>
      <t xml:space="preserve"> для формування фонду власних оборотних засобів і засобів обігу</t>
    </r>
  </si>
  <si>
    <r>
      <t xml:space="preserve">Внески в статутний фонд </t>
    </r>
    <r>
      <rPr>
        <b/>
        <sz val="14"/>
        <rFont val="Times New Roman"/>
        <family val="1"/>
        <charset val="204"/>
      </rPr>
      <t>КП "Благоустрій"</t>
    </r>
    <r>
      <rPr>
        <sz val="14"/>
        <rFont val="Times New Roman"/>
        <family val="1"/>
        <charset val="204"/>
      </rPr>
      <t xml:space="preserve"> для формування фонду власних оборотних засобів і засобів обігу</t>
    </r>
  </si>
  <si>
    <t>1100000</t>
  </si>
  <si>
    <t>Департамент молодіжної політики та спорту виконавчого комітету міської ради</t>
  </si>
  <si>
    <t>1110000</t>
  </si>
  <si>
    <t>0600000</t>
  </si>
  <si>
    <t>Департамент освіти та науки виконавчого комітету міської ради</t>
  </si>
  <si>
    <t>0610000</t>
  </si>
  <si>
    <t xml:space="preserve">Секретар міської ради </t>
  </si>
  <si>
    <t>В. Синишин</t>
  </si>
  <si>
    <t>0611010</t>
  </si>
  <si>
    <t>0611020</t>
  </si>
  <si>
    <t>0921</t>
  </si>
  <si>
    <t>0611070</t>
  </si>
  <si>
    <t>1070</t>
  </si>
  <si>
    <t>0922</t>
  </si>
  <si>
    <t>0611090</t>
  </si>
  <si>
    <t>0611110</t>
  </si>
  <si>
    <t>1110</t>
  </si>
  <si>
    <t>0930</t>
  </si>
  <si>
    <t>0613132</t>
  </si>
  <si>
    <t>3132</t>
  </si>
  <si>
    <t>1040</t>
  </si>
  <si>
    <t>Утримання клубів для підлітків за місцем проживання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</si>
  <si>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</si>
  <si>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</si>
  <si>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</si>
  <si>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0200000</t>
  </si>
  <si>
    <t>Виконавчий комітет міської ради</t>
  </si>
  <si>
    <t>0210000</t>
  </si>
  <si>
    <t>0900000</t>
  </si>
  <si>
    <t>Служба у справах дітей виконавчого комітету міської ради</t>
  </si>
  <si>
    <t>0910000</t>
  </si>
  <si>
    <t>0910160</t>
  </si>
  <si>
    <t>Надання поворотної або безповоротної фінансової допомоги ПрАТ «Івано-Франківський локомотиворемонтний завод»</t>
  </si>
  <si>
    <t>Субвенція на капітальний ремонт території с. Микитинці</t>
  </si>
  <si>
    <t>Субвенція на капітальний ремонт території с. Угорники</t>
  </si>
  <si>
    <t>Субвенція на капітальний ремонт території с.  Крихівці</t>
  </si>
  <si>
    <t>Субвенція на капітальний ремонт території с. Вовчинці</t>
  </si>
  <si>
    <t>Субвенція на капітальний ремонт території с. Хриплин</t>
  </si>
  <si>
    <t>0216086</t>
  </si>
  <si>
    <t>6086</t>
  </si>
  <si>
    <t>Інша діяльність щодо забезпечення житлом громадян</t>
  </si>
  <si>
    <t>Міська цільова програма будівництва (придбання) доступного житла та молодіжного кредитування в місті Івано-Франківську на 2018-2022 роки"</t>
  </si>
  <si>
    <t>Програма охорони культурної спадщини м. Івано-Франківська на 2019-2021 роки</t>
  </si>
  <si>
    <t>Додаток 6</t>
  </si>
  <si>
    <t>до рішення___сесії міської ради</t>
  </si>
  <si>
    <t>від ____________№_____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</si>
  <si>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</si>
  <si>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</si>
  <si>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</si>
  <si>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Обсяг видатків бюджету розвитку, які спрямовуються на будівництво об'єкта у бюджетному періоді, гривень</t>
  </si>
  <si>
    <t>Найменування об'єкта будівництва / вид будівельних робіт, у тому числі проектні роботи</t>
  </si>
  <si>
    <t>0210180</t>
  </si>
  <si>
    <t>Бюджет розвитку</t>
  </si>
  <si>
    <t xml:space="preserve">Проект НЕФКО "Підвищення енергоефективності об'єктів бюджетної сфери м.Івано-Франківська"(кредитні кошти) </t>
  </si>
  <si>
    <t>Розвиток комунального транспорту</t>
  </si>
  <si>
    <t>Кошти, що передаються із загального фонду до бюджету розвитку</t>
  </si>
  <si>
    <t>Всього кошти, що передаються із загального фонду до бюджету розвитку</t>
  </si>
  <si>
    <t>0611161</t>
  </si>
  <si>
    <t>1161</t>
  </si>
  <si>
    <t>0990</t>
  </si>
  <si>
    <t>Забезпечення діяльності інших закладів у сфері освіти</t>
  </si>
  <si>
    <t>Програма "Освіта міста Івано-Франківська 2016-2020 роки"</t>
  </si>
  <si>
    <t>Програма "Здоров'я населення міста Івано-Франківська 2018-2020 роки"</t>
  </si>
  <si>
    <t>Комплексна програма підтримки та розвитку культури міста Івано-Франківська на 2016-2020 роки</t>
  </si>
  <si>
    <t>Капітальний ремонт об'єктів благоустрою</t>
  </si>
  <si>
    <t>Капітальний ремонт закладів охорони здоров'я</t>
  </si>
  <si>
    <t>Капітальний ремонт приміщень комунального некомерційного підприємства "Івано-Франківський міський клінічний перинатальний центр"</t>
  </si>
  <si>
    <t>1517322</t>
  </si>
  <si>
    <t>7322</t>
  </si>
  <si>
    <t>Будівництво1 медичних установ та закладів</t>
  </si>
  <si>
    <t>Капітальний ремонт об'єктів благоустрою населених пунктів</t>
  </si>
  <si>
    <t>Будівництво об'єктів житлово-комунального господарства</t>
  </si>
  <si>
    <t>Нове будівництво футбольного поля в м. Івано-Франківську (в районі Пасічної поблизу так званого «Німецького озера»)</t>
  </si>
  <si>
    <t>Будівництво спортивного залу в Підлузькій ЗОШ І-ІІ ступенів (ПВР+роботи)</t>
  </si>
  <si>
    <t>Капітальний ремонт автомобільної дороги С-091301 на відрізку Побережжя-Черніїв (ПВР+роботи)</t>
  </si>
  <si>
    <t>Капітальний ремонт автомобільної дороги Т-0906 на відрізку від моста (вул. Коновальця) через річку Бистриця Надвірнянська до кільця автомобільної дороги М-10 (с. Черніїв) (ПВР+роботи)</t>
  </si>
  <si>
    <t>1162</t>
  </si>
  <si>
    <t>Інші програми та заходи у сфері освіти</t>
  </si>
  <si>
    <t>0611162</t>
  </si>
  <si>
    <t>1150</t>
  </si>
  <si>
    <t>0611150</t>
  </si>
  <si>
    <t>Проект НЕФКО "Підвищення енергоефективності об'єктів бюджетної сфери м.Івано-Франківська" (співфінансування)</t>
  </si>
  <si>
    <t>Забезпечення здійснення енергозберігаючих заходів</t>
  </si>
  <si>
    <r>
      <t xml:space="preserve">Внески в статутний фонд </t>
    </r>
    <r>
      <rPr>
        <b/>
        <sz val="14"/>
        <rFont val="Times New Roman"/>
        <family val="1"/>
        <charset val="204"/>
      </rPr>
      <t>КП "Дирекція замовника</t>
    </r>
    <r>
      <rPr>
        <sz val="14"/>
        <rFont val="Times New Roman"/>
        <family val="1"/>
        <charset val="204"/>
      </rPr>
      <t>" для формування фонду власних оборотних засобів і засобів обігу (для облаштування прибудинкових територій)</t>
    </r>
  </si>
  <si>
    <t>Забезпечення діяльності інших закладів в галузі культури і мистецтва</t>
  </si>
  <si>
    <t>0829</t>
  </si>
  <si>
    <t>4081</t>
  </si>
  <si>
    <t>Реконструкція вул. Автоливмашівської (від залізничного переїзду до вул. Юності) в м. Івано-Франківську</t>
  </si>
  <si>
    <t>Реконструкція вул. Коновальця (І черга: від моста через р. Бистриця Надвірнянська до вул. Петлюри)</t>
  </si>
  <si>
    <t>Субвенції з Державного бюджету</t>
  </si>
  <si>
    <t xml:space="preserve">Субвенція на надання державної підтримки особам з особливими освітніми потребами </t>
  </si>
  <si>
    <t>Реконструкція нежитлових приміщень під службові приміщення, розташованих на шостому поверсі в будинку на вул. Незалежності, 9 в м. Івано-Франківську</t>
  </si>
  <si>
    <t>1910180</t>
  </si>
  <si>
    <t>Придбання обладнання та програмного забезпечення КП «Електроавтотрансу» для запровадження автоматизованої системи оплати проїзду</t>
  </si>
  <si>
    <t>Субвенція на капітальний ремонт території с. Чукалівка</t>
  </si>
  <si>
    <t>Субвенція на капітальний ремонт території с. Узин</t>
  </si>
  <si>
    <t>Будівництво1 інших об'єктів комунальної власності</t>
  </si>
  <si>
    <t>Капітальний ремонт із заміною вікон Колодіївської ЗОШ</t>
  </si>
  <si>
    <t>Реконструкція системи опалення соціально-культурного центру на вул. Шевченка, 24 в с. Березівка</t>
  </si>
  <si>
    <t>Капітальний ремонт об'єктів транспортної інфраструктури міста</t>
  </si>
  <si>
    <t>Капітальний ремонт приміщення будинку культури в с. Підпечари</t>
  </si>
  <si>
    <r>
      <t xml:space="preserve">Внески в статутний фонд </t>
    </r>
    <r>
      <rPr>
        <b/>
        <sz val="14"/>
        <rFont val="Times New Roman"/>
        <family val="1"/>
        <charset val="204"/>
      </rPr>
      <t>КП "Простір інноваційних Креацій "Палац"</t>
    </r>
    <r>
      <rPr>
        <sz val="14"/>
        <rFont val="Times New Roman"/>
        <family val="1"/>
        <charset val="204"/>
      </rPr>
      <t xml:space="preserve"> для формування фонду власних оборотних засобів і засобів обігу</t>
    </r>
  </si>
  <si>
    <r>
      <t>Внески в статутний фонд</t>
    </r>
    <r>
      <rPr>
        <b/>
        <sz val="14"/>
        <rFont val="Times New Roman"/>
        <family val="1"/>
        <charset val="204"/>
      </rPr>
      <t xml:space="preserve"> КП "Електроавтотранс"</t>
    </r>
    <r>
      <rPr>
        <sz val="14"/>
        <rFont val="Times New Roman"/>
        <family val="1"/>
        <charset val="204"/>
      </rPr>
      <t xml:space="preserve"> для формування фонду власних оборотних засобів і засобів обігу </t>
    </r>
  </si>
  <si>
    <t>Розподіл коштів бюджету на здійснення заходів із капітальних видатків, будівництва, реконструкції і реставрації об'єктів виробничої, комунікаційної та соціальної інфраструктури за об'єктами у 2020 році</t>
  </si>
  <si>
    <t>Програма фінансової підтримки громадських організацій фізкультурно-спортивного спрямування, спортивних клубів та федерацій з видів спорту міста Івано-Франківська на   2020-2024 роки</t>
  </si>
  <si>
    <r>
      <t xml:space="preserve">Внески в статутний фонд </t>
    </r>
    <r>
      <rPr>
        <b/>
        <sz val="14"/>
        <rFont val="Times New Roman"/>
        <family val="1"/>
        <charset val="204"/>
      </rPr>
      <t>КП "Муніципальна інспекція «Добродій»"</t>
    </r>
    <r>
      <rPr>
        <sz val="14"/>
        <rFont val="Times New Roman"/>
        <family val="1"/>
        <charset val="204"/>
      </rPr>
      <t xml:space="preserve"> для формування фонду власних оборотних засобів і засобів обігу</t>
    </r>
  </si>
  <si>
    <t>Нове будівництво футбольного поля стандартних розмірів та влаштування спортивних майданчиків багатофункціонального призначення в ЗШ №24</t>
  </si>
  <si>
    <t>Будівництво НВК ЗОШ № 6 в м-ні "Опришівці" (ПВР+роботи)</t>
  </si>
  <si>
    <t>Будівництво дитячого садка в м-ні "Каскад" (ПВР+роботи)</t>
  </si>
  <si>
    <t>Зміни, що вносяться (+,-)</t>
  </si>
  <si>
    <t>Уточнений обсяг видатків бюджету розвитку, затверджений сесією міської ради, які спрямовуються на будівництво об'єкта у бюджетному періоді, гривень</t>
  </si>
  <si>
    <t xml:space="preserve">Реконструкція інших об'єктів </t>
  </si>
  <si>
    <t>Реконструкція об'єктів транспортної інфраструктури міста</t>
  </si>
  <si>
    <t>Реконструкція</t>
  </si>
  <si>
    <t>Будівництво</t>
  </si>
  <si>
    <t>Будівництво інших об'єктів</t>
  </si>
  <si>
    <t>Капітальний ремонт інших об'єктів</t>
  </si>
  <si>
    <t>Капітальний ремонт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</si>
  <si>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</si>
  <si>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</t>
  </si>
  <si>
    <t>Надання позашкільної освіти закладами позашкільної освіти, заходи із позашкільної роботи з дітьми</t>
  </si>
  <si>
    <t>Підготовка кадрів закладами професійної (професійно-технічної) освіти та іншими закладами освіти</t>
  </si>
  <si>
    <t>Методичне забезпечення діяльності закладів освіти</t>
  </si>
  <si>
    <t>Надання спеціальної освіти мистецькими школами</t>
  </si>
  <si>
    <t xml:space="preserve">Субвенції з Державного, обласного, сільських та інших бюджетів </t>
  </si>
  <si>
    <t>Субвенція з обласного бюджету на капітальний ремонт приміщень Івано-Франківської спеціалізованої школи І-ІІІ ступенів №5 з поглибленим вивченням німецької мови на вул. І. Франка в м. Івано-Франківськ</t>
  </si>
  <si>
    <t>0712111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</si>
  <si>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</si>
  <si>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</si>
  <si>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</si>
  <si>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4030</t>
  </si>
  <si>
    <t>0824</t>
  </si>
  <si>
    <t>Забезпечення діяльності бібліотек</t>
  </si>
  <si>
    <t>Придбання книг для бібліотеки с. Вовчинець (субвенція з с. Вовчинець)</t>
  </si>
  <si>
    <t>Будівництво каналізаційної мережі в с. Хриплин Івано-Франківської міської ради (ПВР+роботи) (субвенція з с. Хриплин)</t>
  </si>
  <si>
    <t>Розширення загальноосвітньої школи І-ІІ ступенів в с.Хриплин  (І п.к.) (субвенція з с. Хриплин)</t>
  </si>
  <si>
    <t>Субвенція з обласного бюджету на капітальний ремонт 4-го поверху комунального некомерційного підприємства «Міський клінічний перинатальний центр Івано-Франківської міської ради</t>
  </si>
  <si>
    <t>Субвенція з обласного бюджету на будівництво дитячого спортивного майданчика на розі вулиці Коновальця-Блавацького в мікрорайоні Опришівці Івано-Франківської міської ради</t>
  </si>
  <si>
    <t>Всього капітальних вкладень</t>
  </si>
  <si>
    <t>Всього по бюджету розвитку разом з субвенціями</t>
  </si>
  <si>
    <t>Разом по бюджету розвитку</t>
  </si>
  <si>
    <t>Міська цільова програма "Партиципаторне бюджетування (бюджет участі) у м.Івано-Франківськ"</t>
  </si>
  <si>
    <t>Міський конкурс проєктів та програм розвитку місцевого самоврядування та громадянського суспільства</t>
  </si>
  <si>
    <t>Придбання службового автотранспорту для амбулаторії загальної практики сімейної медицини по вул. Злуки, 1. с. Черніїв Тисменицького району</t>
  </si>
  <si>
    <t>Придбання службового автотранспорту для амбулаторії загальної практики сімейної медицини по вул. Берегова. 4 б, с. Хриплин м. Івано-Франківськ</t>
  </si>
  <si>
    <t>Придбання службового автотранспорту для амбулаторії загальної практики сімейної медицини по вул. 22 Січня, 218 а, с. Крихівці м. Івано-Франківськ</t>
  </si>
  <si>
    <t>Придбання службового автотранспорту для амбулаторії загальної практики сімейної медицини по вул. Просвіти, 4, с. Угорники м. Івано-Франківськ</t>
  </si>
  <si>
    <t>Придбання службового автотранспорту для амбулаторії загальної практики сімейної медицини по вул. Ясенева, 2, с. Микитинці м. Івано-Франківськ</t>
  </si>
  <si>
    <t>Придбання службового автотранспорту для амбулаторії загальної практики сімейної медицини іто вул. Вовчинецька. 39, с. Вовчинець м. Івано-Франківськ</t>
  </si>
  <si>
    <t>Субвенція з обласного бюджету на встановлення дитячого спортивного майданчика на вулиці Весняній у мікрорайоні Опришівці Івано-Франківської міської ради</t>
  </si>
  <si>
    <t>Субвенція з обласного бюджету на виготовлення проектно-кошторисної документації для здійснення ремонтно-реставраційних робіт на І поверсі центрального корпусу Івано-Франківського комунального закладу «Міська поліклініка № 3 на вул. І. Франка, 30</t>
  </si>
  <si>
    <t>Субвенція з обласного бюджету на придбання спортивного інвентарю для Івано-Франківської дитячо-юнацької спортивної школи №2 Івано-Франківської міської ради</t>
  </si>
  <si>
    <t>Будівництво дитячого садка в с. Крихівці (субвенція з с. Крихівці)</t>
  </si>
  <si>
    <t>Придбання предметів і матеріалів довгострокового користування для ДНЗ №25 «Янголятко» (субвенція з с. Микитинці)</t>
  </si>
  <si>
    <t>Програма підтримки та розвитку Микитинецької ЗШ (субвенція з с. Микитинці)</t>
  </si>
  <si>
    <t>Реконструкція Народного дому в селі Угорники Івано-Франківської міської ради (субвенція з с. Угорники)</t>
  </si>
  <si>
    <t>Капітальний ремонт будинків, управління яких здійснюється ОСББ, ОК (Співфінансування)</t>
  </si>
  <si>
    <t>Капітальний ремонт вулиць та доріг міста</t>
  </si>
  <si>
    <t>Капітальний ремонт міжбудинкових проїздів та прибудинкових територій</t>
  </si>
  <si>
    <t>Капітальний ремонт тротуарів та пішохідних доріжок</t>
  </si>
  <si>
    <t>Забезпечення вільного доступу людей з обмеженими можливостями</t>
  </si>
  <si>
    <t>Капітальний ремонт об'єктів зовнішнього освітлення міста</t>
  </si>
  <si>
    <t>Влаштування газонів та клумб</t>
  </si>
  <si>
    <t>Капітальний  ремонт скверів (парків)</t>
  </si>
  <si>
    <t>Освітлення фасадів будинків</t>
  </si>
  <si>
    <t>Встановлення камер відеоспостереження</t>
  </si>
  <si>
    <t>Встановлення лавок, урн та інших МАФ</t>
  </si>
  <si>
    <t>Капітальний ремонт об'єктів водопровідно-каналізаційного господарства</t>
  </si>
  <si>
    <t>Встановлення контейнерів для роздільного збору сміття та капітальний ремонт контейнерних майданчиків</t>
  </si>
  <si>
    <t>Влаштування "острівців безпеки" та організація дорожнього руху на вулицях міста</t>
  </si>
  <si>
    <r>
      <t xml:space="preserve">Внески в статутний фонд </t>
    </r>
    <r>
      <rPr>
        <b/>
        <sz val="14"/>
        <rFont val="Times New Roman"/>
        <family val="1"/>
        <charset val="204"/>
      </rPr>
      <t xml:space="preserve">КП "Теплий дім" </t>
    </r>
    <r>
      <rPr>
        <sz val="14"/>
        <rFont val="Times New Roman"/>
        <family val="1"/>
        <charset val="204"/>
      </rPr>
      <t>для формування фонду власних оборотних засобів і засобів обігу (для модернізації житлового фонду в тому числі теплова модернізація)</t>
    </r>
  </si>
  <si>
    <r>
      <t xml:space="preserve">Внески в статутний фонд </t>
    </r>
    <r>
      <rPr>
        <b/>
        <sz val="14"/>
        <rFont val="Times New Roman"/>
        <family val="1"/>
        <charset val="204"/>
      </rPr>
      <t>КП "Теплий дім"</t>
    </r>
    <r>
      <rPr>
        <sz val="14"/>
        <rFont val="Times New Roman"/>
        <family val="1"/>
        <charset val="204"/>
      </rPr>
      <t xml:space="preserve"> для формування фонду власних оборотних засобів і засобів обігу (для облаштування прибудинкових територій)</t>
    </r>
  </si>
  <si>
    <t>Реконструкція дитячого садка на вул. Ст. Бандери, 10а в м. Івано-Франківську (ПВР)</t>
  </si>
  <si>
    <t>Нове будівництво котельні в с. Хриплин Івано-Франківської міської ради в межах вулиць Хриплинська-Стартова</t>
  </si>
  <si>
    <t>Будівництво комплексного спортивного майданчика з полями для ігрових видів спорту в районі вулиць Симоненка, 3в – Вовчинецька, 202 (ПВР+роботи)</t>
  </si>
  <si>
    <t>Будівництво каналізаційної мережі в селі Хриплин Івано-Франківської міської ради (ПВР+роботи)</t>
  </si>
  <si>
    <t>Нове будівництво, реконструкція та капітальний ремонт мереж зовнішнього освітлення дворових територій міста Івано-Франківська</t>
  </si>
  <si>
    <t>Будівництво дитячих та спортивних майданчиків (на виконання програми будівництва, реконструкції, капітального ремонту малих архітектурних форм дитячих спортивних та ігрових майданчиків в мікрорайонах та освітніх закладах м. Івано-Франківська на 2017-2020 роки)</t>
  </si>
  <si>
    <t>Вибірковий капітальний ремонт вул. Коперніка</t>
  </si>
  <si>
    <t>Капітальний ремонт спортивного майданчика біля житлового будинку на вул. Дорошенка, 18</t>
  </si>
  <si>
    <t>Капітальний ремонт вул. Індустріальна</t>
  </si>
  <si>
    <t>Капітальний ремонт вул. Галицької (від роз'їзду на Калуське шосе до вул. Хіміків)</t>
  </si>
  <si>
    <t>Капітальний ремонт приміщення міського центру освітніх інновацій по вул. Незалежності, 36 (ПВР+роботи)</t>
  </si>
  <si>
    <t>Капітальний ремонт пішохідної зони на вул. В. Стуса</t>
  </si>
  <si>
    <t>Капітальний ремонт мереж зовнішнього освітлення дворових територій ЗШ та ДНЗ</t>
  </si>
  <si>
    <t>Реконструкція центрального міського стадіону «Рух» на вул. Чорновола, 128 в м. Івано-Франківську</t>
  </si>
  <si>
    <t>Нове будівництво дошкільного навчального закладу по вул. Чорновола (ПВР)</t>
  </si>
  <si>
    <t>Нове будівництво корпусу ЗШС №6 в м-ні "Пасічна" в м. Івано-Франківську (ПВР+роботи)</t>
  </si>
  <si>
    <t>Капітальний ремонт системи опалення ДНЗ №6 на вул. Тарнавського, 16</t>
  </si>
  <si>
    <t>Будівництво спортивного залу ЗОШ №16</t>
  </si>
  <si>
    <t>Капітальний ремонт даху ДНЗ № 18 «Зернятко» по вул. Івана Павла ІІ, 14 в м. Івано-Франківську</t>
  </si>
  <si>
    <t>Капітальний ремонт огороджуючих конструкцій ЗОШ І-ІІІ ступенів №19 по вул. Гната Хоткевича, 56 в м. Івано-Франківську</t>
  </si>
  <si>
    <t>Будівництво консультативно-діагностичного центру з відділенням невідкладної допомоги по вул. Гетьмана Мазепи, 114</t>
  </si>
  <si>
    <t>Капітальний ремонт даху корпусу №5 ЦМКЛ</t>
  </si>
  <si>
    <t>Капітальний ремонт І поверху в стаціонарі Комунального некомерційного підприємства "Міська дитяча клінічна лікарня Івано-Франківської міської ради" по вул. Чорновола, 44</t>
  </si>
  <si>
    <t>Капітальний ремонт Народного дому «Княгинин»  на вул. Галицька, 40 в м. Івано-Франківську (ПВР+роботи)</t>
  </si>
  <si>
    <t>Будівництво багатоквартирного житлового будинку з приміщеннями поліклініки на базі об'єкту незавершеного будівництва по вул. Софіївка,39 в м. Івано-Франківську (ПВР+роботи)</t>
  </si>
  <si>
    <t>Ремонтно-реставраційні роботи корпусу № 1 ЗОШ № 7 в м. Івано-Франківську (ПВР+роботи)</t>
  </si>
  <si>
    <t>Добудова навчального корпусу ЗОШ №12 по вул. Національної Гвардії, 13 (ПКД)</t>
  </si>
  <si>
    <t>Заміна вікон на сходових клітках в будинку на вул. Івана Павла ІІ, 30</t>
  </si>
  <si>
    <t>Нове будівництво футбольного поля з штучним покриттям в районі стадіону Рух в м. Івано-Франківську</t>
  </si>
  <si>
    <t>Влаштування острівців безпеки</t>
  </si>
  <si>
    <t>Облаштування освітлення нерегульованих переходів</t>
  </si>
  <si>
    <t>Облаштування зупинок громадського транспорту</t>
  </si>
  <si>
    <t>Нанесення дорожньої розмітки</t>
  </si>
  <si>
    <t>Монтаж нових та заміна старих дорожніх знаків та вказівників вулиць</t>
  </si>
  <si>
    <t>Придбання обладнання для дорожньої інфраструктури</t>
  </si>
  <si>
    <t>Програма розвитку системи надання адміністративних послуг в м. Івано-Франківську на 2019-2022 роки</t>
  </si>
  <si>
    <t>0217693</t>
  </si>
  <si>
    <t>7693</t>
  </si>
  <si>
    <t>Інші заходи, пов'язані з економічною діяльністю</t>
  </si>
  <si>
    <t>Міжнародний проект "Управління та використання міської та природної культурної спадщини в містах Дунайського регіону (URBforDAN)в рамках грантової Дунайської транснаціональної програми"</t>
  </si>
  <si>
    <t>Капітальний ремонт дорожнього покриття вул. О Кобилянської (від вул. С. Бандери) в с. Черніїв</t>
  </si>
  <si>
    <t>Капітальний ремонт дорожнього покриття вул. Злуки в с. Черніїв</t>
  </si>
  <si>
    <t>Капітальний ремонт вул. Левинського (ПВР+роботи)</t>
  </si>
  <si>
    <t>Капітальний ремонт вул. Ушинського</t>
  </si>
  <si>
    <t>Капітальний ремонт вул. Софіївка</t>
  </si>
  <si>
    <t>Будівництво Північного бульвару на ділянці від вул. Бельведерської до вул. Панаса Мирного (ПВР+роботи)</t>
  </si>
  <si>
    <t>Капітальний ремонт вул Січинського</t>
  </si>
  <si>
    <t>Капітальний ремонт вул. Макогона (ПВР+ роботи)</t>
  </si>
  <si>
    <t>Субвенція м. Києву для встановлення пам’ятника І. Франку</t>
  </si>
  <si>
    <t>1500000</t>
  </si>
  <si>
    <t>1510000</t>
  </si>
  <si>
    <t>1517363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</si>
  <si>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</si>
  <si>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</si>
  <si>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Капітальний ремонт проїзду до житлового будинку на вул. Чорновола, 128а в м. Івано-Франківську (Капітальний ремонт)</t>
  </si>
  <si>
    <t>Фонд міської ради на виконання депутатських повноважень</t>
  </si>
  <si>
    <t>Придбання обладнання, комп'ютерної техніки та предметів довгострокового користування</t>
  </si>
  <si>
    <t>0210160</t>
  </si>
  <si>
    <t>2700000</t>
  </si>
  <si>
    <t>Управління економічного та інтеграційного розвитку</t>
  </si>
  <si>
    <t>2710000</t>
  </si>
  <si>
    <t>2710160</t>
  </si>
  <si>
    <t>Придбання предметів довгострокового користування</t>
  </si>
  <si>
    <t>0217310</t>
  </si>
  <si>
    <t>Придбання сучасних меблів та комп’ютерного обладнання на забезпечення якісної, сучасної та доступної загальної середньої освіти «Нова українська школа»</t>
  </si>
  <si>
    <t>Капітальний ремонт вулиць (доріг) міста</t>
  </si>
  <si>
    <t>Капітальний ремонт вул. Гетьмана Мазепи в м. Івано-Франківську (2-га черга)</t>
  </si>
  <si>
    <t xml:space="preserve">Капітальний ремонт вулиць та доріг міста </t>
  </si>
  <si>
    <t>Капітальний ремонт прибудинкових територій та міжбудинкових проїздів</t>
  </si>
  <si>
    <t>Розвиток велосипедної інфраструктури та популяризація велосипедного руху в м. Івано-Франківську</t>
  </si>
  <si>
    <t>Капітальний ремонт пішохідної зони з влаштуванням велодоріжки навколо міського озера на вул. Г. Мазепи ІІ черга</t>
  </si>
  <si>
    <t>Капітальний ремонт пішохідної зони з влаштуванням велодоріжки навколо міського озера на вул. Г. Мазепи ІІІ черга</t>
  </si>
  <si>
    <t>Капітальний ремонт пішохідної зони з влаштуванням велодоріжки навколо міського озера на вул. Г. Мазепи ІV черга</t>
  </si>
  <si>
    <t>Капітальний ремонт пірсів, сходів та інших елементів благоустрою озера на вул. Г. Мазепи</t>
  </si>
  <si>
    <t>Капітальний ремонт інших об'єктів благоустрою міста</t>
  </si>
  <si>
    <t>Придбання спецілізованої техніки для комунальних підприємств (Прогама розвитку житлово-комунальної сфери міста Івано-Франківська на 2018-2022 роки)</t>
  </si>
  <si>
    <t>Реконструкція зовнішнього освітлення міського озера на вул. Гетьмана Мазепи</t>
  </si>
  <si>
    <t>Будівництво вул. Проектна 1 (від вул. Хіміків до вул. Проектна 2) в м-ні №4 по вул. Хіміків-Тролейбусна м. Івано-Франківськ (ПВР+роботи)</t>
  </si>
  <si>
    <t>Будівництво вулиці Стуса на ділянці від вул. Миколайчука до вул. 24 Серпня</t>
  </si>
  <si>
    <t>Будівництво комунальних об'єктів</t>
  </si>
  <si>
    <t>Будівництво каналізаційної мережі в селі Угорники Івано-Франківської міської ради  (ПВР+роботи)</t>
  </si>
  <si>
    <t>Будівництво каналізаційної мережі в селі Хриплин Івано-Франківської міської ради  (ПВР+роботи)</t>
  </si>
  <si>
    <t>Капітальний ремонт об'єктів комунального господарства</t>
  </si>
  <si>
    <t xml:space="preserve">Капітальний ремонт міжбудинкових проїздів та прибункових територій  </t>
  </si>
  <si>
    <t>Капітальний ремонт прилеглої території до озера розташованого  поруч із ЗШ №21 та його очищення</t>
  </si>
  <si>
    <t>Капітальний ремонт дамби річки Бистриця Надвірнянська в с. Угорники Івано-Франківської міської ради</t>
  </si>
  <si>
    <t>Виготовлення проектно-кошторисної документації добудови корпусу початкових класів СШ №11</t>
  </si>
  <si>
    <t xml:space="preserve">Реконструкція з добудовою приміщень Крихівецької ЗОШ І-ІІІ ступенів на вул. 22 Січня, 141А в с. Крихівці Івано-Франківської міської ради </t>
  </si>
  <si>
    <t>Нове будівництво футбольного поля з штучним покриттям по вул. Гетьмана Дорошенка в районі стадіону "Рух" (ПВР)</t>
  </si>
  <si>
    <t>Реконструкція фізкультурно-оздоровчого комплексу "Електрон" по вул. С. Бандери, 12А в м. Івано-Франківську (ПВР+ роботи)</t>
  </si>
  <si>
    <t>Ремонт приміщень Центрального народного дому на вул. Тараса Шевченка,1 в м. Івано-Франківську /ремонтно-реставраційні роботи/ (ПВР+роботи)</t>
  </si>
  <si>
    <t>Перелік об'єктів фінансування, які будуть здійснюватись за рахунок запозичень до міського бюджету м. Івано-Франківська у  2020 році</t>
  </si>
  <si>
    <t>Всього по об'єктах фінансування, яких буде здійснюватись за рахунок запозичень до міського бюджету м. Івано-Франківська у  2020 році</t>
  </si>
  <si>
    <t>8410</t>
  </si>
  <si>
    <t>0830</t>
  </si>
  <si>
    <t>Фінансова підтримка засобів масової інформації</t>
  </si>
  <si>
    <t>Закупівля обладнання для ТРК ВЕЖА</t>
  </si>
  <si>
    <t>Придбання медичного обладнання для КНП «Центральна міська клінічна лікарня»</t>
  </si>
  <si>
    <t>Придбання основних засобів Вовчинецької ЗШ (субвенція з с. Вовчинець)</t>
  </si>
  <si>
    <t>Придбання службового автотранспорту для амбулаторії загальної практики сімейної медицини по вул. Стефаника, 1, с. Підлужжя Тисменицького району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</si>
  <si>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</si>
  <si>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</si>
  <si>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</si>
  <si>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«Капітальний ремонт систем опалення в архівному приміщенні за адресою вул. Грюнвальдська, 15</t>
  </si>
  <si>
    <t>Придбання книг для бібліотеки-філії №9 в с. Крихівці (субвенція з с. Крихівці)</t>
  </si>
  <si>
    <t>Придбання гінекологічного крісла для КНП ЦПМ КДД СП МП№1 лікарська амбулаторія у с. Крихівці (субвенція з с. Крихівці)</t>
  </si>
  <si>
    <t>Субвенція з обласного бюджету на виконання заходів регіональної цільової програми «Духовне життя» на 2016 – 2020 роки (для камерного хору «Преображення Господнього» Собору Преображення Господнього в м. Івано-Франківську)</t>
  </si>
  <si>
    <t>Нове будівництво, реконструкція та капітальний ремонт мереж зовнішнього освітлення вулиць в селі Березівка</t>
  </si>
  <si>
    <r>
      <t xml:space="preserve">Внески в статутний фонд </t>
    </r>
    <r>
      <rPr>
        <b/>
        <sz val="14"/>
        <rFont val="Times New Roman"/>
        <family val="1"/>
        <charset val="204"/>
      </rPr>
      <t>КП "Дирекція замовника</t>
    </r>
    <r>
      <rPr>
        <sz val="14"/>
        <rFont val="Times New Roman"/>
        <family val="1"/>
        <charset val="204"/>
      </rPr>
      <t xml:space="preserve">" для формування фонду власних оборотних засобів і засобів обігу </t>
    </r>
  </si>
  <si>
    <r>
      <t xml:space="preserve">Внески в статутний фонд </t>
    </r>
    <r>
      <rPr>
        <b/>
        <sz val="14"/>
        <rFont val="Times New Roman"/>
        <family val="1"/>
        <charset val="204"/>
      </rPr>
      <t>КП "Теплий дім"</t>
    </r>
    <r>
      <rPr>
        <sz val="14"/>
        <rFont val="Times New Roman"/>
        <family val="1"/>
        <charset val="204"/>
      </rPr>
      <t xml:space="preserve"> для формування фонду власних оборотних засобів і засобів обігу</t>
    </r>
  </si>
  <si>
    <t>Капітальний ремонт вул. Крайківського (ПВР)</t>
  </si>
  <si>
    <t>Капітальний ремонт вул. Озаркевича</t>
  </si>
  <si>
    <t>Капітальний ремонт вул. Гімназійна (ПВР)</t>
  </si>
  <si>
    <t>Фільтратопровід від полігону ТПВ в районі с. Рибне до точки врізки в міську каналізацію в м. Івано-Франківську</t>
  </si>
  <si>
    <t>Реконструкція вул. Івасюка з влаштуванням велодоріжки в м. Івано-Франківську (ПВР)</t>
  </si>
  <si>
    <t>Капітальний ремонт благоустрою території біля стадіону "Рух" (ПВР)</t>
  </si>
  <si>
    <t>Капітальний ремонт вул. Національної Гвардії (ПВР)</t>
  </si>
  <si>
    <t>Капітальний ремонт вул. Республіканська</t>
  </si>
  <si>
    <t>Капітальний ремонт вул. Військових Ветеранів</t>
  </si>
  <si>
    <t>Капітальний ремонт елементів фасаду навчально-реабілітаційного центру на вул. Гната Хоткевича, 52  в м. Івано-Франківську</t>
  </si>
  <si>
    <t>Капітальний ремонт елементів фасаду ДНЗ №33 "Кристалик" по вул. Вовчинець-кій, 198 А в м. Івано-Франківську</t>
  </si>
  <si>
    <t>Капітальний ремонт елементів фасаду ДНЗ №23 "Дударик" по вул. Сухомлинського, 10 А в м. Івано-Франківську</t>
  </si>
  <si>
    <t>Капітальний ремонт елементів фасаду ДНЗ №16 "Сонечко" по вул. Короля Данила, 15-А а в м. Івано-Франківську</t>
  </si>
  <si>
    <t>Капітальний ремонт елементів благоустрою ЗШ №25 на вул. 24 Серпня, 13 в м. Івано-Франківську</t>
  </si>
  <si>
    <t>Реконструкція Народного дому в селі Угорники Івано-Франківської міської ради</t>
  </si>
  <si>
    <t>Реконструкція фізкультурно-оздоровчого комплексу "Електрон" по вул. С. Бандери, 12А (ПВР)</t>
  </si>
  <si>
    <t>Капітальний ремонт даху над нежитловими приміщеннями по вул. Тролейбусна, 22А</t>
  </si>
  <si>
    <t>0712152</t>
  </si>
  <si>
    <t>2152</t>
  </si>
  <si>
    <t>Інші програми та заходи у сфері охорони здоров’я</t>
  </si>
  <si>
    <t>0763</t>
  </si>
  <si>
    <t>2717693</t>
  </si>
  <si>
    <t>0491</t>
  </si>
  <si>
    <t>Програма промоції міста Івано-Франківська на 2016-2020 роки</t>
  </si>
  <si>
    <t>Субвенція на нове будівництво каплички в урочищі «Рінь» с. Хриплин</t>
  </si>
  <si>
    <t>Капітальний ремонт приміщень Будинку нічного перебування з адресою: вул. Млинарська, 2А в м. Івано-Франківську</t>
  </si>
  <si>
    <t>Програма розвитку електронного урядування у виконавчому комітеті Івано-Франківської міської ради на 2020-2021 роки</t>
  </si>
  <si>
    <t>Реконструкція футбольного поля в с. Черніїв</t>
  </si>
  <si>
    <t>Ремонтно-реставраційні роботи даху та приміщень будинку пам’ятки містобудування і архітектури місцевого значення охоронний №6-іф (колишня жіноча вчительська семінарія 1911р) адмінбудинку на вул. Дністровська,28</t>
  </si>
  <si>
    <t>Субвенція на розвиток села Крилос Галицького району</t>
  </si>
  <si>
    <t>Капітальний ремонт вулиці Лесі Українки в с. Колодіївка</t>
  </si>
  <si>
    <t>Придбання обладнання для КНП ЦМКЛ, для реалізації запланованих заходів у рамках проекту «Спільні ініціативи та рішення у сфері охорони здоров’я у транскордонній Румунії-Україні</t>
  </si>
  <si>
    <t>Капітальний ремонт адміністративних приміщень за адресою с. Березівка, вулиця Шевченка, 24</t>
  </si>
  <si>
    <t>Капітальний ремонт адміністративних приміщень за адресою с. Підпечери, вул. Січових Стрільців, 2</t>
  </si>
  <si>
    <t>Влаштування тимчасового металевого пандуса біля центрального входу будівлі КНП "Міська клінічна лікарня" Івано-Франківської міської ради на вул. Матейки,34 в м. Івано-Франківську для організації транспортування хворих на коронавірус COVID-19</t>
  </si>
  <si>
    <t>1610180</t>
  </si>
  <si>
    <t>Створення ПК геоінформаційної системи містобудівного кадастру м. ІФ</t>
  </si>
  <si>
    <t>Субвенція районному бюджету Галицької районної ради на соціально-економічний розвиток району</t>
  </si>
  <si>
    <t>Придбання лабораторного обладнання (резервний фонд)</t>
  </si>
  <si>
    <t>Капітальний ремонт заїзду до приймального відділення КНП «Міська клінічна лікарня №1 Івано-Франківської міської ради» по вул. Матейки, 34 в м. Івано-Франківську</t>
  </si>
  <si>
    <t>Придбання україномовної літератури для бібліотеки-філії №12 в с. Микитинці (субвенція з с. Микитинці)</t>
  </si>
  <si>
    <t>КНП ЦМКЛ "Співфінансування проєкту в рамках програми Транскордонного співробітництва Румунія-Україна 2014-2020 "Лікарні без інфекцій"</t>
  </si>
  <si>
    <t>Придбання основних засобів для центру соціально-психологічної реабілітації дітей та молоді з функціональними обмеженнями «Дивосвіт»</t>
  </si>
  <si>
    <t>1110160</t>
  </si>
  <si>
    <t>Капітальний ремонт санвузлів на 5 поверсі будинку по вул. Незалежності, 9 в м. Івано-Франківську</t>
  </si>
  <si>
    <t>Субвенція з обласного бюджету на ремонт та придбання обладнання для їдальні (харчоблоку) Ліцей №19 Івано-Франківської міської ради</t>
  </si>
  <si>
    <t>Субвенція з обласного бюджету на ремонт та придбання обладнання для їдальні (харчоблоку) Ліцей №21 Івано-Франківської міської ради</t>
  </si>
  <si>
    <t>Субвенція з обласного бюджету на ремонт та придбання обладнання для їдальні (харчоблоку) Ліцей №5 Івано-Франківської міської ради</t>
  </si>
  <si>
    <t>Субвенція з обласного бюджету на ремонт та придбання обладнання для їдальні (харчоблоку) Ліцей №24 Івано-Франківської міської ради</t>
  </si>
  <si>
    <t>Субвенція з обласного бюджету на ремонт та придбання обладнання для їдальні (харчоблоку) Ліцей №23 імені Романа Гурика Івано-Франківської міської ради</t>
  </si>
  <si>
    <t>Субвенція обласному бюджету для співфінансування  видатків на закупівлю сучасних меблів на забезпечення якісної, сучасної та доступної загальної середньої освіти «Нова українська школа»</t>
  </si>
  <si>
    <t>Субвенція обласному бюджету для співфінансування  видатків на закупівлю комп"ютерного обладнання на забезпечення якісної, сучасної та доступної загальної середньої освіти «Нова українська школа»</t>
  </si>
  <si>
    <t>Капітальний ремонт фрагменту фасаду з влаштуванням системи скріпленої теплоізоляції головного входу до адміністративних приміщень за адресою вул. Шевченка, 24 с. Березівка Івано-Франківська ОТГ</t>
  </si>
  <si>
    <t>Вибірковий капітальний ремонт дорожнього покриття по вул. Шевченка в с. Підлужжя Тисменицького району (від мосту через річку Ворона до перехрестя з вул. Пушкіна</t>
  </si>
  <si>
    <t>0218230</t>
  </si>
  <si>
    <t>8230</t>
  </si>
  <si>
    <t>0380</t>
  </si>
  <si>
    <t>Інші заходи громадського порядку та безпеки</t>
  </si>
  <si>
    <t>Викуп квартири №1 в будинку №51-А  по вул. Сонячній в м. Івано-Франківську</t>
  </si>
  <si>
    <t>Буріння розвідувально-екплуатаційної свердловини для технічного водопостачання на стадіоні в с. Черніїв Івано-Франківської ОТГ</t>
  </si>
  <si>
    <t>Чистка русла та берегоукріплення р. Млинівка по вул. Сагайдачного в с. Черніїв Івано-Франківської ОТГ</t>
  </si>
  <si>
    <t>Влаштування заїзду до урочища «Вільшина» в с. Черніїв Івано-Франківської ОТГ</t>
  </si>
  <si>
    <t>Відновлення зруйнованого переїзду через р. Млинівка по вул. Тараса Шевченка в с. Черніїв Івано-Франківської ОТГ</t>
  </si>
  <si>
    <t>Капітальний ремонт (відновлення) зруйнованого повністю берегоукріплення р. Млинівка по вул. Злуки в с. Черніїв</t>
  </si>
  <si>
    <t>1617310</t>
  </si>
  <si>
    <t>Капітальний ремонт огорожі палісадника поруч будинку №1 по вул. К. Данила в м. Івано-Франківську</t>
  </si>
  <si>
    <t>1617330</t>
  </si>
  <si>
    <t>Виготовлення пам'ятників</t>
  </si>
  <si>
    <t>3100000</t>
  </si>
  <si>
    <t>3110000</t>
  </si>
  <si>
    <t xml:space="preserve">Департамент комунальних ресурсів </t>
  </si>
  <si>
    <t>3110160</t>
  </si>
  <si>
    <t>Субвенція обласному бюджету на нове будівництво навчально-виховного комплексу з використанням незавершеної будівництвом середньої школи на 11 класів в с. Чукалівка Тисменицького району Івано-Франківської області</t>
  </si>
  <si>
    <t>Капітальний ремонт приміщень Вовчинецької ЗШ (субвенція з с. Вовчинець)</t>
  </si>
  <si>
    <t>Субвенція з обласного бюджету на здійснення матеріально-технічної бази КНП «Центральна міська клінічна лікарня Івано-Франківської міської ради</t>
  </si>
  <si>
    <t>Придбання електродіагностистичного спірометричного апарату для КНП ЦПМ КДД СП МП№1 лікарська амбулаторія у с. Хриплин (субвенція з с. Хриплин)</t>
  </si>
  <si>
    <t>Придбання книг для бібліотеки с. Хриплин (субвенція з с. Хриплин)</t>
  </si>
  <si>
    <t>Субвенція з обласного на відновлення питних джерел в історичному середмісті Івано-Франківська (Програма розвитку місцевого самоврядування в Івано-Франківській області на 2016-2020 роки)</t>
  </si>
  <si>
    <t>Субвенція з обласного бюджету на будівництво храму Всіх Святих Українського Народу в м. Івано-Франківську по вул. Українських Декабристів</t>
  </si>
  <si>
    <t>Субвенція з обласного бюджету на будівництво храму "Святителя Василія Великого" ПЦУ в районі вул. Галицька-Витвицького біля дамби р. Бистриця-Солотвинська в м. Івано-Франківську</t>
  </si>
  <si>
    <t>Субвенція з обласного бюджету на будівництво Собору св. Володимира і Ольги в м. Івано-Франківську по вул. Вовчинецькій</t>
  </si>
  <si>
    <t>Субвенція з обласного бюджету на капітальний ремонт церкви Різдва Пресвятої Богородиці УАПЦ в с. Хриплин Івано-Франківської міської ради</t>
  </si>
  <si>
    <t>Субвенція з обласного бюджету на капітальний ремонт церкви Святого Микити УГКЦ в с. Микитинці Івано-Франківської міської ради</t>
  </si>
  <si>
    <t>Субвенція з обласного бюджету на капітальний ремонт церкви Святої Параскеви Великомучениці УГКЦ в с. Хриплин Івано-Франківської міської ради</t>
  </si>
  <si>
    <t>Субвенція з обласного бюджету капітальний ремонт храму Святителя Миколая Івано-Франківської Галицької єпархії ПЦУ в м. Івано-Франківську</t>
  </si>
  <si>
    <t>Субвенція з обласного бюджету на капітальний ремонт церкви Христа Чоловіколюбця і Блаженних М учеників Григорія Хомишина, Симеона Лукача та Івана Слезюка на вул. Ленкавського, 17-В у м. Івано-Франківську</t>
  </si>
  <si>
    <t>Субвенція з обласного бюджету на капітальний ремонт храму Святого Великомученика Юрія УГКЦ в с. Угорники Івано-Франківської міської ради</t>
  </si>
  <si>
    <t>Субвенція з обласного бюджету на капітальний ремонт храму "Святого Духа" м. Івано-Франківськ, вул. Пасічна, 41 "в"</t>
  </si>
  <si>
    <t>Субвенція з обласного бюджету на будівництво храму Покрови Пресвятої Богородиці по вул. Крихівецькій 97а с. Крихівці Івано-Франківської міської ради</t>
  </si>
  <si>
    <t>0813221</t>
  </si>
  <si>
    <t>3221</t>
  </si>
  <si>
    <t>1060</t>
  </si>
  <si>
    <t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</si>
  <si>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0813223</t>
  </si>
  <si>
    <t>3223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</si>
  <si>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</si>
  <si>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Капітальний ремонт інженерних мереж</t>
  </si>
  <si>
    <t>Субвенція з державного бюджету на створення навчально-практичних центрів сучасної професійної (професійно-технічної) освіти</t>
  </si>
  <si>
    <t>0717369</t>
  </si>
  <si>
    <t>7369</t>
  </si>
  <si>
    <t>0710</t>
  </si>
  <si>
    <t>Реалізація проектів з реконструкції, капітального ремонту приймальних відділень в опорних закладах охорони здоров'я у госпітальних округах</t>
  </si>
  <si>
    <t>Субвенція з місцевого бюджету на реалізацію проектів з реконструкції, капітального ремонту приймальних відділень в опорних закладах охорони здоров'я у госпітальних округах за рахунок відповідної субвенції з державного бюджету (Реконструкція з добудовою відділення екстреної медичної допомоги КНП ЦМКЛ)</t>
  </si>
  <si>
    <t>Влаштування тротуарного покриття за адресою с. Березівка, вулиця Шевченка, 24</t>
  </si>
  <si>
    <t>Комплексна програма профілактики злочинності в місті до 2024 року</t>
  </si>
  <si>
    <t>1216086</t>
  </si>
  <si>
    <t>Співфінансування придбання житла для внутрішньо переміщених осіб за рахунок коштів державної субвенції місцевим бюджетам на здійснення заходів щодо підтримки територій, що зазнали негативного впливу внаслідок збройного конфлікту на сході України</t>
  </si>
  <si>
    <t>Капітальний ремонт санвузлів ГУНП в Івано-Франківській області по вул. Січинського, 5б</t>
  </si>
  <si>
    <t>Капітальний ремонт елементів фасаду ДНЗ №18 "Зернятко" по вул. Івана Павла ІІ, 14 в м. Івано-Франківську</t>
  </si>
  <si>
    <t>Капітальний ремонт елементів фасаду ДНЗ №36 "Віночок" по вул. Целевича, 16а в м. Івано-Франківську</t>
  </si>
  <si>
    <t>Капітальний ремонт покрівлі даху ліцею №22 Івано-Франківської міської ради на вул. Івана Павла ІІ, 24</t>
  </si>
  <si>
    <t>Влаштування підсвітки вежі на вул. Незалежності, 9 у м. Івано-Франківську</t>
  </si>
  <si>
    <t>Субвенція на розвиток села Тисменичани</t>
  </si>
  <si>
    <t>Субвенція на розвиток села Камінне</t>
  </si>
  <si>
    <t>Субвенція на розвиток села Чукалівка</t>
  </si>
  <si>
    <t>Субвенція на розвиток села Радча</t>
  </si>
  <si>
    <t>Субвенція обласному бюджету на капітальний ремонт НВК по вул. Шевченка, 72 в с. Братківці Тисменицького району Івано-Франківської області</t>
  </si>
  <si>
    <t>Субвенція з обласного бюджету на зміцнення матеріально-технічної бази Івано-Франківської ЗОШ №5 (придбання комп’ютерного обладнання і обладнання для харчоблоку)</t>
  </si>
  <si>
    <t>Субвенція з обласного на виконання Програми місцевого самоврядування проєкт "Громада кращого довкілля с. Черніїв</t>
  </si>
  <si>
    <r>
      <t xml:space="preserve">Внески в статутний фонд </t>
    </r>
    <r>
      <rPr>
        <b/>
        <sz val="14"/>
        <rFont val="Times New Roman"/>
        <family val="1"/>
        <charset val="204"/>
      </rPr>
      <t>КП "Івано-Франківськводоекотехпром"</t>
    </r>
    <r>
      <rPr>
        <sz val="14"/>
        <rFont val="Times New Roman"/>
        <family val="1"/>
        <charset val="204"/>
      </rPr>
      <t xml:space="preserve"> для формування фонду власних оборотних засобів і засобів обігу </t>
    </r>
  </si>
  <si>
    <t>Субвенція з місцевого бюджету на забезпечення подачею кисню ліжкового фонду закладів  охорони здоров’я, які надають стаціонарну медичну допомогу пацієнтам з гострою респіраторною хворобою COVID-19, спричиненою короновірусом  SARS-CoV-2, за рахунок  відповідної субвенції з державного бюджету для КНП ЦМКЛ Івано-Франківської міської ради</t>
  </si>
  <si>
    <t>Субвенція з місцевого бюджету на забезпечення подачею кисню ліжкового фонду закладів  охорони здоров’я, які надають стаціонарну медичну допомогу пацієнтам з гострою респіраторною хворобою COVID-19, спричиненою короновірусом  SARS-CoV-2, за рахунок  відповідної субвенції з державного бюджету для КНП МКЛ №1 Івано-Франківської міської ради</t>
  </si>
  <si>
    <t>Субвенція на розвиток села Узин</t>
  </si>
  <si>
    <t>Субвенція з обласного бюджету на закупівлю обладнання, інвентарю для фізкультурно-спортивних приміщень, засобів навчання, у т.ч. навчально-методичної та  навчальної літератури, зошитів з друкованою основою для закладів загальної середньої освіти, що беруть участь у експерименті з реалізації Державного стандарту початкової освіти ПШ №9</t>
  </si>
  <si>
    <t>Придбання сушильної машини для ДНЗ №32 «Солов’ятко» (субвенція з с. Угорники)</t>
  </si>
  <si>
    <t>Придбання україномовної літератури для бібліотеки-філії №11 в с. Угорники (субвенція з с. Угорники)</t>
  </si>
  <si>
    <t>Субвенція з обласного бюджету на виконання заходів регіональної цільової програми «Духовне життя» на 2016 – 2020 роки (для монастиря ЗВС УГКЦ вул. Вербова, 32А в с. Крихівці Івано-Франківської міської ради (нове будівництво дошкільного навчального закладу «Християнський дитячий садок» Ковчег» в с. Крихівці)</t>
  </si>
  <si>
    <t>Капітальний ремонт даху (пошкодженого внаслідок стихії) Будинку смутку по вул. Ребета, 3 в м. Івано-Франківську (резервний фонд)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</si>
</sst>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6" x14ac:knownFonts="1">
    <font>
      <sz val="10"/>
      <name val="Times New Roman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14"/>
      <name val="Arial Cyr"/>
      <charset val="204"/>
    </font>
    <font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7"/>
      <name val="Times New Roman"/>
      <family val="1"/>
      <charset val="204"/>
    </font>
    <font>
      <sz val="16"/>
      <name val="Calibri"/>
      <family val="2"/>
    </font>
    <font>
      <i/>
      <sz val="14"/>
      <color theme="1"/>
      <name val="Times New Roman"/>
      <family val="1"/>
      <charset val="204"/>
    </font>
    <font>
      <i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177">
    <xf numFmtId="0" fontId="0" fillId="0" borderId="0" xfId="0"/>
    <xf numFmtId="0" fontId="3" fillId="2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left" vertical="center" wrapText="1"/>
    </xf>
    <xf numFmtId="0" fontId="1" fillId="2" borderId="1" xfId="1" applyNumberFormat="1" applyFont="1" applyFill="1" applyBorder="1" applyAlignment="1">
      <alignment vertical="center" wrapText="1"/>
    </xf>
    <xf numFmtId="0" fontId="1" fillId="2" borderId="1" xfId="1" applyFont="1" applyFill="1" applyBorder="1" applyAlignment="1">
      <alignment horizontal="left" vertical="center" wrapText="1" shrinkToFit="1"/>
    </xf>
    <xf numFmtId="0" fontId="1" fillId="2" borderId="1" xfId="1" applyNumberFormat="1" applyFont="1" applyFill="1" applyBorder="1" applyAlignment="1">
      <alignment horizontal="left" vertical="center" wrapText="1" shrinkToFit="1"/>
    </xf>
    <xf numFmtId="0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 shrinkToFit="1"/>
    </xf>
    <xf numFmtId="0" fontId="1" fillId="2" borderId="1" xfId="0" applyNumberFormat="1" applyFont="1" applyFill="1" applyBorder="1" applyAlignment="1">
      <alignment horizontal="left" vertical="center" wrapText="1" shrinkToFit="1"/>
    </xf>
    <xf numFmtId="0" fontId="2" fillId="2" borderId="0" xfId="0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3" fontId="10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3" fontId="1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49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 shrinkToFit="1"/>
    </xf>
    <xf numFmtId="0" fontId="1" fillId="2" borderId="0" xfId="0" applyFont="1" applyFill="1" applyAlignment="1">
      <alignment horizontal="left" vertical="center" wrapText="1" shrinkToFit="1"/>
    </xf>
    <xf numFmtId="0" fontId="1" fillId="2" borderId="0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 wrapText="1" shrinkToFit="1"/>
    </xf>
    <xf numFmtId="49" fontId="3" fillId="2" borderId="1" xfId="0" applyNumberFormat="1" applyFont="1" applyFill="1" applyBorder="1" applyAlignment="1" applyProtection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 shrinkToFit="1"/>
    </xf>
    <xf numFmtId="0" fontId="1" fillId="2" borderId="0" xfId="0" applyFont="1" applyFill="1" applyBorder="1" applyAlignment="1">
      <alignment vertical="center" wrapText="1" shrinkToFit="1"/>
    </xf>
    <xf numFmtId="0" fontId="1" fillId="2" borderId="0" xfId="0" applyFont="1" applyFill="1" applyAlignment="1">
      <alignment vertical="center" wrapText="1" shrinkToFi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 shrinkToFit="1"/>
    </xf>
    <xf numFmtId="0" fontId="4" fillId="2" borderId="0" xfId="0" applyFont="1" applyFill="1" applyAlignment="1">
      <alignment vertical="center" wrapText="1" shrinkToFi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 shrinkToFit="1"/>
    </xf>
    <xf numFmtId="0" fontId="3" fillId="2" borderId="0" xfId="0" applyFont="1" applyFill="1" applyAlignment="1">
      <alignment vertical="center" wrapText="1" shrinkToFit="1"/>
    </xf>
    <xf numFmtId="49" fontId="3" fillId="2" borderId="1" xfId="0" applyNumberFormat="1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left" vertical="center" wrapText="1" shrinkToFit="1"/>
    </xf>
    <xf numFmtId="3" fontId="3" fillId="2" borderId="1" xfId="0" applyNumberFormat="1" applyFont="1" applyFill="1" applyBorder="1" applyAlignment="1">
      <alignment horizontal="center" vertical="center" wrapText="1" shrinkToFit="1"/>
    </xf>
    <xf numFmtId="49" fontId="3" fillId="2" borderId="1" xfId="0" applyNumberFormat="1" applyFont="1" applyFill="1" applyBorder="1" applyAlignment="1">
      <alignment horizontal="left" vertical="center" wrapText="1" shrinkToFit="1"/>
    </xf>
    <xf numFmtId="3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3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1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0" fontId="1" fillId="2" borderId="1" xfId="2" applyNumberFormat="1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horizontal="center" vertical="center" wrapText="1" shrinkToFit="1"/>
    </xf>
    <xf numFmtId="0" fontId="3" fillId="2" borderId="0" xfId="0" applyFont="1" applyFill="1" applyAlignment="1">
      <alignment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shrinkToFit="1"/>
    </xf>
    <xf numFmtId="0" fontId="3" fillId="2" borderId="1" xfId="2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 shrinkToFit="1"/>
    </xf>
    <xf numFmtId="3" fontId="1" fillId="2" borderId="1" xfId="0" applyNumberFormat="1" applyFont="1" applyFill="1" applyBorder="1" applyAlignment="1">
      <alignment horizontal="center" vertical="center" shrinkToFit="1"/>
    </xf>
    <xf numFmtId="49" fontId="10" fillId="2" borderId="1" xfId="0" applyNumberFormat="1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vertical="center" wrapText="1" shrinkToFit="1"/>
    </xf>
    <xf numFmtId="3" fontId="2" fillId="2" borderId="1" xfId="0" applyNumberFormat="1" applyFont="1" applyFill="1" applyBorder="1" applyAlignment="1">
      <alignment horizontal="center" vertical="center" wrapText="1" shrinkToFit="1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165" fontId="1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1" fillId="2" borderId="1" xfId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 shrinkToFit="1"/>
    </xf>
    <xf numFmtId="0" fontId="1" fillId="2" borderId="1" xfId="0" applyNumberFormat="1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 shrinkToFit="1"/>
    </xf>
    <xf numFmtId="3" fontId="5" fillId="2" borderId="1" xfId="0" applyNumberFormat="1" applyFont="1" applyFill="1" applyBorder="1" applyAlignment="1">
      <alignment horizontal="center" vertical="center" wrapText="1" shrinkToFit="1"/>
    </xf>
    <xf numFmtId="0" fontId="5" fillId="2" borderId="0" xfId="0" applyFont="1" applyFill="1" applyBorder="1" applyAlignment="1">
      <alignment vertical="center" wrapText="1" shrinkToFit="1"/>
    </xf>
    <xf numFmtId="0" fontId="5" fillId="2" borderId="0" xfId="0" applyFont="1" applyFill="1" applyAlignment="1">
      <alignment vertical="center" wrapText="1" shrinkToFi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 shrinkToFit="1"/>
    </xf>
    <xf numFmtId="49" fontId="4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 shrinkToFit="1"/>
    </xf>
    <xf numFmtId="0" fontId="4" fillId="2" borderId="7" xfId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 shrinkToFit="1"/>
    </xf>
    <xf numFmtId="49" fontId="4" fillId="2" borderId="1" xfId="1" applyNumberFormat="1" applyFont="1" applyFill="1" applyBorder="1" applyAlignment="1">
      <alignment horizontal="left" vertical="center" wrapText="1" shrinkToFit="1"/>
    </xf>
    <xf numFmtId="49" fontId="4" fillId="2" borderId="5" xfId="0" applyNumberFormat="1" applyFont="1" applyFill="1" applyBorder="1" applyAlignment="1">
      <alignment horizontal="center" vertical="center" wrapText="1" shrinkToFit="1"/>
    </xf>
    <xf numFmtId="0" fontId="4" fillId="2" borderId="1" xfId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vertical="center" wrapText="1"/>
    </xf>
    <xf numFmtId="0" fontId="4" fillId="2" borderId="1" xfId="2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vertical="center" wrapText="1"/>
    </xf>
    <xf numFmtId="0" fontId="4" fillId="2" borderId="1" xfId="2" applyNumberFormat="1" applyFont="1" applyFill="1" applyBorder="1" applyAlignment="1">
      <alignment vertical="center" wrapText="1"/>
    </xf>
    <xf numFmtId="3" fontId="10" fillId="2" borderId="0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 shrinkToFit="1"/>
    </xf>
    <xf numFmtId="3" fontId="1" fillId="2" borderId="0" xfId="0" applyNumberFormat="1" applyFont="1" applyFill="1" applyBorder="1" applyAlignment="1">
      <alignment vertical="center"/>
    </xf>
    <xf numFmtId="0" fontId="1" fillId="2" borderId="5" xfId="0" applyNumberFormat="1" applyFont="1" applyFill="1" applyBorder="1" applyAlignment="1">
      <alignment horizontal="left" vertical="center" wrapText="1"/>
    </xf>
    <xf numFmtId="0" fontId="1" fillId="2" borderId="0" xfId="0" applyFont="1" applyFill="1"/>
    <xf numFmtId="0" fontId="1" fillId="2" borderId="1" xfId="0" applyNumberFormat="1" applyFont="1" applyFill="1" applyBorder="1" applyAlignment="1">
      <alignment horizontal="left" vertical="top" wrapText="1"/>
    </xf>
    <xf numFmtId="3" fontId="4" fillId="2" borderId="0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 wrapText="1" shrinkToFit="1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wrapText="1" shrinkToFi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 wrapText="1" shrinkToFit="1"/>
    </xf>
    <xf numFmtId="0" fontId="10" fillId="2" borderId="0" xfId="0" applyFont="1" applyFill="1" applyBorder="1" applyAlignment="1">
      <alignment horizontal="center" vertical="center" wrapText="1" shrinkToFit="1"/>
    </xf>
    <xf numFmtId="0" fontId="10" fillId="2" borderId="0" xfId="0" applyFont="1" applyFill="1" applyBorder="1" applyAlignment="1">
      <alignment vertical="center" wrapText="1" shrinkToFit="1"/>
    </xf>
    <xf numFmtId="0" fontId="10" fillId="2" borderId="0" xfId="0" applyFont="1" applyFill="1" applyAlignment="1">
      <alignment vertical="center" wrapText="1" shrinkToFit="1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 shrinkToFit="1"/>
    </xf>
    <xf numFmtId="0" fontId="9" fillId="2" borderId="0" xfId="0" applyFont="1" applyFill="1" applyBorder="1" applyAlignment="1">
      <alignment horizontal="center" vertical="center" wrapText="1" shrinkToFit="1"/>
    </xf>
    <xf numFmtId="0" fontId="9" fillId="2" borderId="0" xfId="0" applyFont="1" applyFill="1" applyBorder="1" applyAlignment="1">
      <alignment vertical="center" wrapText="1" shrinkToFit="1"/>
    </xf>
    <xf numFmtId="0" fontId="9" fillId="2" borderId="0" xfId="0" applyFont="1" applyFill="1" applyAlignment="1">
      <alignment vertical="center" wrapText="1" shrinkToFit="1"/>
    </xf>
    <xf numFmtId="49" fontId="3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 wrapText="1" shrinkToFit="1"/>
    </xf>
    <xf numFmtId="49" fontId="3" fillId="2" borderId="1" xfId="1" applyNumberFormat="1" applyFont="1" applyFill="1" applyBorder="1" applyAlignment="1">
      <alignment horizontal="left" vertical="center" wrapText="1"/>
    </xf>
    <xf numFmtId="49" fontId="4" fillId="2" borderId="6" xfId="1" applyNumberFormat="1" applyFont="1" applyFill="1" applyBorder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vertical="center" wrapText="1" shrinkToFit="1"/>
    </xf>
    <xf numFmtId="49" fontId="4" fillId="2" borderId="1" xfId="1" applyNumberFormat="1" applyFont="1" applyFill="1" applyBorder="1" applyAlignment="1">
      <alignment horizontal="center" vertical="center" wrapText="1" shrinkToFit="1"/>
    </xf>
    <xf numFmtId="49" fontId="4" fillId="2" borderId="5" xfId="1" applyNumberFormat="1" applyFont="1" applyFill="1" applyBorder="1" applyAlignment="1">
      <alignment horizontal="center" vertical="center" wrapText="1" shrinkToFit="1"/>
    </xf>
    <xf numFmtId="0" fontId="4" fillId="2" borderId="1" xfId="1" applyFont="1" applyFill="1" applyBorder="1" applyAlignment="1">
      <alignment horizontal="center" vertical="center" wrapText="1"/>
    </xf>
    <xf numFmtId="3" fontId="10" fillId="2" borderId="0" xfId="0" applyNumberFormat="1" applyFont="1" applyFill="1" applyBorder="1" applyAlignment="1">
      <alignment vertical="center" wrapText="1" shrinkToFit="1"/>
    </xf>
    <xf numFmtId="0" fontId="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3" fontId="1" fillId="2" borderId="0" xfId="0" applyNumberFormat="1" applyFont="1" applyFill="1" applyAlignment="1">
      <alignment horizontal="center" vertical="center"/>
    </xf>
    <xf numFmtId="49" fontId="13" fillId="2" borderId="1" xfId="0" applyNumberFormat="1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" fillId="2" borderId="1" xfId="1" applyFont="1" applyFill="1" applyBorder="1" applyAlignment="1">
      <alignment vertical="center" wrapText="1" shrinkToFit="1"/>
    </xf>
    <xf numFmtId="0" fontId="1" fillId="2" borderId="5" xfId="0" applyFont="1" applyFill="1" applyBorder="1" applyAlignment="1">
      <alignment horizontal="left" vertical="center" wrapText="1" shrinkToFit="1"/>
    </xf>
    <xf numFmtId="0" fontId="14" fillId="0" borderId="1" xfId="0" applyFont="1" applyFill="1" applyBorder="1" applyAlignment="1">
      <alignment vertical="center" wrapText="1" shrinkToFit="1"/>
    </xf>
    <xf numFmtId="49" fontId="4" fillId="3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3" fontId="10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vertical="center" wrapText="1" shrinkToFit="1"/>
    </xf>
    <xf numFmtId="0" fontId="1" fillId="0" borderId="7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49" fontId="11" fillId="2" borderId="0" xfId="0" applyNumberFormat="1" applyFont="1" applyFill="1" applyAlignment="1">
      <alignment horizontal="center" vertical="center"/>
    </xf>
    <xf numFmtId="49" fontId="12" fillId="2" borderId="0" xfId="0" applyNumberFormat="1" applyFont="1" applyFill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 wrapText="1" shrinkToFit="1"/>
    </xf>
  </cellXfs>
  <cellStyles count="3">
    <cellStyle name="Обычный" xfId="0" builtinId="0"/>
    <cellStyle name="Обычный 2" xfId="1"/>
    <cellStyle name="Обычный_Лист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2"/>
  <sheetViews>
    <sheetView showZeros="0" tabSelected="1" zoomScale="60" zoomScaleNormal="60" workbookViewId="0">
      <pane ySplit="7" topLeftCell="A8" activePane="bottomLeft" state="frozen"/>
      <selection pane="bottomLeft" activeCell="K303" sqref="K303"/>
    </sheetView>
  </sheetViews>
  <sheetFormatPr defaultRowHeight="18.75" x14ac:dyDescent="0.2"/>
  <cols>
    <col min="1" max="3" width="33.6640625" style="21" customWidth="1"/>
    <col min="4" max="4" width="70.1640625" style="21" customWidth="1"/>
    <col min="5" max="5" width="92.6640625" style="19" customWidth="1"/>
    <col min="6" max="7" width="34.5" style="153" customWidth="1"/>
    <col min="8" max="8" width="35.33203125" style="153" customWidth="1"/>
    <col min="9" max="9" width="20.1640625" style="15" bestFit="1" customWidth="1"/>
    <col min="10" max="10" width="22.1640625" style="15" customWidth="1"/>
    <col min="11" max="11" width="22.6640625" style="15" customWidth="1"/>
    <col min="12" max="12" width="9.33203125" style="15"/>
    <col min="13" max="13" width="25.1640625" style="15" customWidth="1"/>
    <col min="14" max="14" width="21.5" style="15" customWidth="1"/>
    <col min="15" max="15" width="9.33203125" style="15"/>
    <col min="16" max="16" width="25.83203125" style="15" customWidth="1"/>
    <col min="17" max="19" width="9.33203125" style="15"/>
    <col min="20" max="16384" width="9.33203125" style="18"/>
  </cols>
  <sheetData>
    <row r="1" spans="1:19" ht="22.5" x14ac:dyDescent="0.2">
      <c r="A1" s="174"/>
      <c r="B1" s="174"/>
      <c r="C1" s="174"/>
      <c r="D1" s="174"/>
      <c r="E1" s="174"/>
      <c r="F1" s="172" t="s">
        <v>177</v>
      </c>
      <c r="G1" s="172"/>
      <c r="H1" s="172"/>
      <c r="I1" s="16"/>
      <c r="J1" s="17"/>
    </row>
    <row r="2" spans="1:19" ht="21.75" x14ac:dyDescent="0.2">
      <c r="A2" s="175"/>
      <c r="B2" s="175"/>
      <c r="C2" s="175"/>
      <c r="D2" s="175"/>
      <c r="F2" s="172" t="s">
        <v>178</v>
      </c>
      <c r="G2" s="172"/>
      <c r="H2" s="172"/>
      <c r="I2" s="20"/>
    </row>
    <row r="3" spans="1:19" x14ac:dyDescent="0.2">
      <c r="F3" s="172" t="s">
        <v>179</v>
      </c>
      <c r="G3" s="172"/>
      <c r="H3" s="172"/>
      <c r="I3" s="20"/>
    </row>
    <row r="4" spans="1:19" x14ac:dyDescent="0.2">
      <c r="F4" s="22"/>
      <c r="G4" s="22"/>
      <c r="H4" s="22"/>
    </row>
    <row r="5" spans="1:19" ht="20.25" x14ac:dyDescent="0.2">
      <c r="A5" s="173" t="s">
        <v>237</v>
      </c>
      <c r="B5" s="173"/>
      <c r="C5" s="173"/>
      <c r="D5" s="173"/>
      <c r="E5" s="173"/>
      <c r="F5" s="173"/>
      <c r="G5" s="173"/>
      <c r="H5" s="173"/>
    </row>
    <row r="6" spans="1:19" x14ac:dyDescent="0.2">
      <c r="A6" s="23"/>
      <c r="B6" s="23"/>
      <c r="C6" s="23"/>
      <c r="D6" s="23"/>
      <c r="E6" s="24"/>
      <c r="F6" s="25"/>
      <c r="G6" s="25"/>
      <c r="H6" s="25"/>
    </row>
    <row r="7" spans="1:19" ht="168.75" x14ac:dyDescent="0.2">
      <c r="A7" s="26" t="s">
        <v>180</v>
      </c>
      <c r="B7" s="27" t="s">
        <v>181</v>
      </c>
      <c r="C7" s="27" t="s">
        <v>0</v>
      </c>
      <c r="D7" s="26" t="s">
        <v>182</v>
      </c>
      <c r="E7" s="28" t="s">
        <v>184</v>
      </c>
      <c r="F7" s="29" t="s">
        <v>183</v>
      </c>
      <c r="G7" s="30" t="s">
        <v>243</v>
      </c>
      <c r="H7" s="29" t="s">
        <v>244</v>
      </c>
    </row>
    <row r="8" spans="1:19" s="32" customFormat="1" ht="20.25" x14ac:dyDescent="0.2">
      <c r="A8" s="168" t="s">
        <v>397</v>
      </c>
      <c r="B8" s="168"/>
      <c r="C8" s="168"/>
      <c r="D8" s="168"/>
      <c r="E8" s="168"/>
      <c r="F8" s="168"/>
      <c r="G8" s="168"/>
      <c r="H8" s="168"/>
      <c r="I8" s="31"/>
      <c r="J8" s="31"/>
      <c r="K8" s="31"/>
      <c r="L8" s="31"/>
      <c r="M8" s="31"/>
      <c r="N8" s="31"/>
      <c r="O8" s="31"/>
      <c r="P8" s="31"/>
    </row>
    <row r="9" spans="1:19" s="36" customFormat="1" ht="37.5" x14ac:dyDescent="0.2">
      <c r="A9" s="33" t="s">
        <v>137</v>
      </c>
      <c r="B9" s="33"/>
      <c r="C9" s="33"/>
      <c r="D9" s="29" t="s">
        <v>138</v>
      </c>
      <c r="E9" s="34"/>
      <c r="F9" s="30">
        <f>F11</f>
        <v>17000000</v>
      </c>
      <c r="G9" s="30">
        <f>G11</f>
        <v>-17000000</v>
      </c>
      <c r="H9" s="30">
        <f t="shared" ref="H9:H72" si="0">F9+G9</f>
        <v>0</v>
      </c>
      <c r="I9" s="35"/>
    </row>
    <row r="10" spans="1:19" s="40" customFormat="1" ht="37.5" x14ac:dyDescent="0.2">
      <c r="A10" s="33" t="s">
        <v>139</v>
      </c>
      <c r="B10" s="33"/>
      <c r="C10" s="33"/>
      <c r="D10" s="37" t="s">
        <v>138</v>
      </c>
      <c r="E10" s="38"/>
      <c r="F10" s="30"/>
      <c r="G10" s="30"/>
      <c r="H10" s="30">
        <f t="shared" si="0"/>
        <v>0</v>
      </c>
      <c r="I10" s="39"/>
    </row>
    <row r="11" spans="1:19" s="46" customFormat="1" ht="75" x14ac:dyDescent="0.2">
      <c r="A11" s="41" t="s">
        <v>143</v>
      </c>
      <c r="B11" s="41" t="s">
        <v>50</v>
      </c>
      <c r="C11" s="41" t="s">
        <v>144</v>
      </c>
      <c r="D11" s="42" t="s">
        <v>252</v>
      </c>
      <c r="E11" s="43"/>
      <c r="F11" s="44">
        <f>SUM(F12:F12)</f>
        <v>17000000</v>
      </c>
      <c r="G11" s="44">
        <f>SUM(G12:G12)</f>
        <v>-17000000</v>
      </c>
      <c r="H11" s="44">
        <f t="shared" si="0"/>
        <v>0</v>
      </c>
      <c r="I11" s="45"/>
    </row>
    <row r="12" spans="1:19" ht="56.25" x14ac:dyDescent="0.2">
      <c r="A12" s="156"/>
      <c r="B12" s="156"/>
      <c r="C12" s="156"/>
      <c r="D12" s="157"/>
      <c r="E12" s="65" t="s">
        <v>370</v>
      </c>
      <c r="F12" s="64">
        <v>17000000</v>
      </c>
      <c r="G12" s="64">
        <f>-17000000</f>
        <v>-17000000</v>
      </c>
      <c r="H12" s="64">
        <f t="shared" si="0"/>
        <v>0</v>
      </c>
      <c r="K12" s="18"/>
      <c r="L12" s="18"/>
      <c r="M12" s="18"/>
      <c r="N12" s="18"/>
      <c r="O12" s="18"/>
      <c r="P12" s="18"/>
      <c r="Q12" s="18"/>
      <c r="R12" s="18"/>
      <c r="S12" s="18"/>
    </row>
    <row r="13" spans="1:19" s="46" customFormat="1" x14ac:dyDescent="0.2">
      <c r="A13" s="47" t="s">
        <v>59</v>
      </c>
      <c r="B13" s="47"/>
      <c r="C13" s="47"/>
      <c r="D13" s="47" t="s">
        <v>60</v>
      </c>
      <c r="E13" s="48"/>
      <c r="F13" s="49">
        <f>F15</f>
        <v>17500000</v>
      </c>
      <c r="G13" s="49">
        <f>G15</f>
        <v>-17500000</v>
      </c>
      <c r="H13" s="49">
        <f t="shared" si="0"/>
        <v>0</v>
      </c>
      <c r="I13" s="45"/>
      <c r="J13" s="45"/>
    </row>
    <row r="14" spans="1:19" s="53" customFormat="1" x14ac:dyDescent="0.2">
      <c r="A14" s="47" t="s">
        <v>61</v>
      </c>
      <c r="B14" s="47"/>
      <c r="C14" s="47"/>
      <c r="D14" s="50" t="s">
        <v>60</v>
      </c>
      <c r="E14" s="48"/>
      <c r="F14" s="51"/>
      <c r="G14" s="51"/>
      <c r="H14" s="51">
        <f t="shared" si="0"/>
        <v>0</v>
      </c>
      <c r="I14" s="52"/>
      <c r="J14" s="52"/>
    </row>
    <row r="15" spans="1:19" ht="37.5" x14ac:dyDescent="0.2">
      <c r="A15" s="54" t="s">
        <v>62</v>
      </c>
      <c r="B15" s="54" t="s">
        <v>63</v>
      </c>
      <c r="C15" s="54" t="s">
        <v>64</v>
      </c>
      <c r="D15" s="55" t="s">
        <v>65</v>
      </c>
      <c r="E15" s="9"/>
      <c r="F15" s="56">
        <f>SUM(F16:F16)</f>
        <v>17500000</v>
      </c>
      <c r="G15" s="56">
        <f>SUM(G16:G16)</f>
        <v>-17500000</v>
      </c>
      <c r="H15" s="56">
        <f t="shared" si="0"/>
        <v>0</v>
      </c>
      <c r="K15" s="18"/>
      <c r="L15" s="18"/>
      <c r="M15" s="18"/>
      <c r="N15" s="18"/>
      <c r="O15" s="18"/>
      <c r="P15" s="18"/>
      <c r="Q15" s="18"/>
      <c r="R15" s="18"/>
      <c r="S15" s="18"/>
    </row>
    <row r="16" spans="1:19" s="15" customFormat="1" ht="37.5" x14ac:dyDescent="0.2">
      <c r="A16" s="34"/>
      <c r="B16" s="34"/>
      <c r="C16" s="34"/>
      <c r="D16" s="9"/>
      <c r="E16" s="65" t="s">
        <v>196</v>
      </c>
      <c r="F16" s="64">
        <v>17500000</v>
      </c>
      <c r="G16" s="64">
        <f>-17500000</f>
        <v>-17500000</v>
      </c>
      <c r="H16" s="64">
        <f t="shared" si="0"/>
        <v>0</v>
      </c>
    </row>
    <row r="17" spans="1:19" s="32" customFormat="1" ht="56.25" x14ac:dyDescent="0.2">
      <c r="A17" s="29">
        <v>1200000</v>
      </c>
      <c r="B17" s="33"/>
      <c r="C17" s="33"/>
      <c r="D17" s="33" t="s">
        <v>116</v>
      </c>
      <c r="E17" s="57"/>
      <c r="F17" s="30">
        <f>F19+F36</f>
        <v>73800000</v>
      </c>
      <c r="G17" s="30">
        <f>G19+G36</f>
        <v>-73800000</v>
      </c>
      <c r="H17" s="30">
        <f t="shared" si="0"/>
        <v>0</v>
      </c>
      <c r="I17" s="31"/>
      <c r="J17" s="31"/>
    </row>
    <row r="18" spans="1:19" s="32" customFormat="1" ht="56.25" x14ac:dyDescent="0.2">
      <c r="A18" s="29">
        <v>1210000</v>
      </c>
      <c r="B18" s="33"/>
      <c r="C18" s="33"/>
      <c r="D18" s="58" t="s">
        <v>116</v>
      </c>
      <c r="E18" s="57"/>
      <c r="F18" s="30"/>
      <c r="G18" s="30"/>
      <c r="H18" s="30">
        <f t="shared" si="0"/>
        <v>0</v>
      </c>
      <c r="I18" s="31"/>
      <c r="J18" s="31"/>
    </row>
    <row r="19" spans="1:19" s="60" customFormat="1" ht="19.5" x14ac:dyDescent="0.2">
      <c r="A19" s="41" t="s">
        <v>121</v>
      </c>
      <c r="B19" s="41" t="s">
        <v>28</v>
      </c>
      <c r="C19" s="41" t="s">
        <v>29</v>
      </c>
      <c r="D19" s="41" t="s">
        <v>21</v>
      </c>
      <c r="E19" s="43"/>
      <c r="F19" s="44">
        <f>SUM(F20:F35)</f>
        <v>58300000</v>
      </c>
      <c r="G19" s="44">
        <f>SUM(G20:G35)</f>
        <v>-58300000</v>
      </c>
      <c r="H19" s="44">
        <f t="shared" si="0"/>
        <v>0</v>
      </c>
      <c r="I19" s="59"/>
      <c r="J19" s="59"/>
    </row>
    <row r="20" spans="1:19" s="15" customFormat="1" x14ac:dyDescent="0.2">
      <c r="A20" s="61"/>
      <c r="B20" s="62"/>
      <c r="C20" s="62"/>
      <c r="D20" s="63"/>
      <c r="E20" s="29" t="s">
        <v>371</v>
      </c>
      <c r="F20" s="64"/>
      <c r="G20" s="64"/>
      <c r="H20" s="64">
        <f t="shared" si="0"/>
        <v>0</v>
      </c>
    </row>
    <row r="21" spans="1:19" s="15" customFormat="1" ht="37.5" x14ac:dyDescent="0.2">
      <c r="A21" s="61"/>
      <c r="B21" s="62"/>
      <c r="C21" s="62"/>
      <c r="D21" s="63"/>
      <c r="E21" s="65" t="s">
        <v>372</v>
      </c>
      <c r="F21" s="64">
        <v>4300000</v>
      </c>
      <c r="G21" s="64">
        <v>-4300000</v>
      </c>
      <c r="H21" s="64">
        <f t="shared" si="0"/>
        <v>0</v>
      </c>
    </row>
    <row r="22" spans="1:19" s="15" customFormat="1" x14ac:dyDescent="0.2">
      <c r="A22" s="61"/>
      <c r="B22" s="62"/>
      <c r="C22" s="62"/>
      <c r="D22" s="63"/>
      <c r="E22" s="65" t="s">
        <v>373</v>
      </c>
      <c r="F22" s="64">
        <v>15000000</v>
      </c>
      <c r="G22" s="64">
        <v>-15000000</v>
      </c>
      <c r="H22" s="64">
        <f t="shared" si="0"/>
        <v>0</v>
      </c>
    </row>
    <row r="23" spans="1:19" ht="37.5" x14ac:dyDescent="0.2">
      <c r="A23" s="61"/>
      <c r="B23" s="62"/>
      <c r="C23" s="62"/>
      <c r="D23" s="63"/>
      <c r="E23" s="28" t="s">
        <v>292</v>
      </c>
      <c r="F23" s="64">
        <v>0</v>
      </c>
      <c r="G23" s="64"/>
      <c r="H23" s="64">
        <f t="shared" si="0"/>
        <v>0</v>
      </c>
      <c r="K23" s="18"/>
      <c r="L23" s="18"/>
      <c r="M23" s="18"/>
      <c r="N23" s="18"/>
      <c r="O23" s="18"/>
      <c r="P23" s="18"/>
      <c r="Q23" s="18"/>
      <c r="R23" s="18"/>
      <c r="S23" s="18"/>
    </row>
    <row r="24" spans="1:19" ht="37.5" x14ac:dyDescent="0.2">
      <c r="A24" s="61"/>
      <c r="B24" s="62"/>
      <c r="C24" s="62"/>
      <c r="D24" s="63"/>
      <c r="E24" s="65" t="s">
        <v>374</v>
      </c>
      <c r="F24" s="64">
        <v>16000000</v>
      </c>
      <c r="G24" s="64">
        <v>-16000000</v>
      </c>
      <c r="H24" s="64">
        <f t="shared" si="0"/>
        <v>0</v>
      </c>
      <c r="K24" s="18"/>
      <c r="L24" s="18"/>
      <c r="M24" s="18"/>
      <c r="N24" s="18"/>
      <c r="O24" s="18"/>
      <c r="P24" s="18"/>
      <c r="Q24" s="18"/>
      <c r="R24" s="18"/>
      <c r="S24" s="18"/>
    </row>
    <row r="25" spans="1:19" x14ac:dyDescent="0.2">
      <c r="A25" s="61"/>
      <c r="B25" s="62"/>
      <c r="C25" s="62"/>
      <c r="D25" s="63"/>
      <c r="E25" s="28" t="s">
        <v>293</v>
      </c>
      <c r="F25" s="64">
        <v>0</v>
      </c>
      <c r="G25" s="64"/>
      <c r="H25" s="64">
        <f t="shared" si="0"/>
        <v>0</v>
      </c>
      <c r="K25" s="18"/>
      <c r="L25" s="18"/>
      <c r="M25" s="18"/>
      <c r="N25" s="18"/>
      <c r="O25" s="18"/>
      <c r="P25" s="18"/>
      <c r="Q25" s="18"/>
      <c r="R25" s="18"/>
      <c r="S25" s="18"/>
    </row>
    <row r="26" spans="1:19" x14ac:dyDescent="0.2">
      <c r="A26" s="61"/>
      <c r="B26" s="62"/>
      <c r="C26" s="62"/>
      <c r="D26" s="63"/>
      <c r="E26" s="65" t="s">
        <v>293</v>
      </c>
      <c r="F26" s="64">
        <v>2000000</v>
      </c>
      <c r="G26" s="64">
        <v>-2000000</v>
      </c>
      <c r="H26" s="64">
        <f t="shared" si="0"/>
        <v>0</v>
      </c>
      <c r="K26" s="18"/>
      <c r="L26" s="18"/>
      <c r="M26" s="18"/>
      <c r="N26" s="18"/>
      <c r="O26" s="18"/>
      <c r="P26" s="18"/>
      <c r="Q26" s="18"/>
      <c r="R26" s="18"/>
      <c r="S26" s="18"/>
    </row>
    <row r="27" spans="1:19" ht="37.5" x14ac:dyDescent="0.2">
      <c r="A27" s="61"/>
      <c r="B27" s="62"/>
      <c r="C27" s="62"/>
      <c r="D27" s="63"/>
      <c r="E27" s="8" t="s">
        <v>375</v>
      </c>
      <c r="F27" s="64">
        <v>1500000</v>
      </c>
      <c r="G27" s="64">
        <v>-1500000</v>
      </c>
      <c r="H27" s="64">
        <f t="shared" si="0"/>
        <v>0</v>
      </c>
      <c r="K27" s="18"/>
      <c r="L27" s="18"/>
      <c r="M27" s="18"/>
      <c r="N27" s="18"/>
      <c r="O27" s="18"/>
      <c r="P27" s="18"/>
      <c r="Q27" s="18"/>
      <c r="R27" s="18"/>
      <c r="S27" s="18"/>
    </row>
    <row r="28" spans="1:19" ht="37.5" x14ac:dyDescent="0.2">
      <c r="A28" s="61"/>
      <c r="B28" s="62"/>
      <c r="C28" s="62"/>
      <c r="D28" s="63"/>
      <c r="E28" s="65" t="s">
        <v>376</v>
      </c>
      <c r="F28" s="64">
        <v>8400000</v>
      </c>
      <c r="G28" s="64">
        <v>-8400000</v>
      </c>
      <c r="H28" s="64">
        <f t="shared" si="0"/>
        <v>0</v>
      </c>
      <c r="K28" s="18"/>
      <c r="L28" s="18"/>
      <c r="M28" s="18"/>
      <c r="N28" s="18"/>
      <c r="O28" s="18"/>
      <c r="P28" s="18"/>
      <c r="Q28" s="18"/>
      <c r="R28" s="18"/>
      <c r="S28" s="18"/>
    </row>
    <row r="29" spans="1:19" ht="37.5" x14ac:dyDescent="0.2">
      <c r="A29" s="61"/>
      <c r="B29" s="62"/>
      <c r="C29" s="62"/>
      <c r="D29" s="63"/>
      <c r="E29" s="65" t="s">
        <v>377</v>
      </c>
      <c r="F29" s="64">
        <v>1500000</v>
      </c>
      <c r="G29" s="64">
        <v>-1500000</v>
      </c>
      <c r="H29" s="64">
        <f t="shared" si="0"/>
        <v>0</v>
      </c>
      <c r="K29" s="18"/>
      <c r="L29" s="18"/>
      <c r="M29" s="18"/>
      <c r="N29" s="18"/>
      <c r="O29" s="18"/>
      <c r="P29" s="18"/>
      <c r="Q29" s="18"/>
      <c r="R29" s="18"/>
      <c r="S29" s="18"/>
    </row>
    <row r="30" spans="1:19" ht="37.5" x14ac:dyDescent="0.2">
      <c r="A30" s="61"/>
      <c r="B30" s="62"/>
      <c r="C30" s="62"/>
      <c r="D30" s="63"/>
      <c r="E30" s="65" t="s">
        <v>378</v>
      </c>
      <c r="F30" s="64">
        <v>5100000</v>
      </c>
      <c r="G30" s="64">
        <v>-5100000</v>
      </c>
      <c r="H30" s="64">
        <f t="shared" si="0"/>
        <v>0</v>
      </c>
      <c r="K30" s="18"/>
      <c r="L30" s="18"/>
      <c r="M30" s="18"/>
      <c r="N30" s="18"/>
      <c r="O30" s="18"/>
      <c r="P30" s="18"/>
      <c r="Q30" s="18"/>
      <c r="R30" s="18"/>
      <c r="S30" s="18"/>
    </row>
    <row r="31" spans="1:19" ht="37.5" x14ac:dyDescent="0.2">
      <c r="A31" s="61"/>
      <c r="B31" s="62"/>
      <c r="C31" s="62"/>
      <c r="D31" s="63"/>
      <c r="E31" s="65" t="s">
        <v>379</v>
      </c>
      <c r="F31" s="64">
        <v>500000</v>
      </c>
      <c r="G31" s="64">
        <v>-500000</v>
      </c>
      <c r="H31" s="64">
        <f t="shared" si="0"/>
        <v>0</v>
      </c>
      <c r="K31" s="18"/>
      <c r="L31" s="18"/>
      <c r="M31" s="18"/>
      <c r="N31" s="18"/>
      <c r="O31" s="18"/>
      <c r="P31" s="18"/>
      <c r="Q31" s="18"/>
      <c r="R31" s="18"/>
      <c r="S31" s="18"/>
    </row>
    <row r="32" spans="1:19" ht="37.5" x14ac:dyDescent="0.2">
      <c r="A32" s="61"/>
      <c r="B32" s="62"/>
      <c r="C32" s="62"/>
      <c r="D32" s="63"/>
      <c r="E32" s="28" t="s">
        <v>295</v>
      </c>
      <c r="F32" s="64">
        <v>0</v>
      </c>
      <c r="G32" s="64"/>
      <c r="H32" s="64">
        <f t="shared" si="0"/>
        <v>0</v>
      </c>
      <c r="K32" s="18"/>
      <c r="L32" s="18"/>
      <c r="M32" s="18"/>
      <c r="N32" s="18"/>
      <c r="O32" s="18"/>
      <c r="P32" s="18"/>
      <c r="Q32" s="18"/>
      <c r="R32" s="18"/>
      <c r="S32" s="18"/>
    </row>
    <row r="33" spans="1:19" x14ac:dyDescent="0.2">
      <c r="A33" s="61"/>
      <c r="B33" s="62"/>
      <c r="C33" s="62"/>
      <c r="D33" s="63"/>
      <c r="E33" s="29" t="s">
        <v>380</v>
      </c>
      <c r="F33" s="64">
        <v>0</v>
      </c>
      <c r="G33" s="64"/>
      <c r="H33" s="64">
        <f t="shared" si="0"/>
        <v>0</v>
      </c>
      <c r="K33" s="18"/>
      <c r="L33" s="18"/>
      <c r="M33" s="18"/>
      <c r="N33" s="18"/>
      <c r="O33" s="18"/>
      <c r="P33" s="18"/>
      <c r="Q33" s="18"/>
      <c r="R33" s="18"/>
      <c r="S33" s="18"/>
    </row>
    <row r="34" spans="1:19" x14ac:dyDescent="0.2">
      <c r="A34" s="61"/>
      <c r="B34" s="62"/>
      <c r="C34" s="62"/>
      <c r="D34" s="63"/>
      <c r="E34" s="8" t="s">
        <v>198</v>
      </c>
      <c r="F34" s="64">
        <v>2000000</v>
      </c>
      <c r="G34" s="64">
        <v>-2000000</v>
      </c>
      <c r="H34" s="64">
        <f t="shared" si="0"/>
        <v>0</v>
      </c>
      <c r="K34" s="18"/>
      <c r="L34" s="18"/>
      <c r="M34" s="18"/>
      <c r="N34" s="18"/>
      <c r="O34" s="18"/>
      <c r="P34" s="18"/>
      <c r="Q34" s="18"/>
      <c r="R34" s="18"/>
      <c r="S34" s="18"/>
    </row>
    <row r="35" spans="1:19" x14ac:dyDescent="0.2">
      <c r="A35" s="61"/>
      <c r="B35" s="62"/>
      <c r="C35" s="62"/>
      <c r="D35" s="63"/>
      <c r="E35" s="65" t="s">
        <v>300</v>
      </c>
      <c r="F35" s="64">
        <v>2000000</v>
      </c>
      <c r="G35" s="64">
        <v>-2000000</v>
      </c>
      <c r="H35" s="64">
        <f t="shared" si="0"/>
        <v>0</v>
      </c>
      <c r="K35" s="18"/>
      <c r="L35" s="18"/>
      <c r="M35" s="18"/>
      <c r="N35" s="18"/>
      <c r="O35" s="18"/>
      <c r="P35" s="18"/>
      <c r="Q35" s="18"/>
      <c r="R35" s="18"/>
      <c r="S35" s="18"/>
    </row>
    <row r="36" spans="1:19" s="53" customFormat="1" ht="37.5" x14ac:dyDescent="0.2">
      <c r="A36" s="41" t="s">
        <v>122</v>
      </c>
      <c r="B36" s="41" t="s">
        <v>25</v>
      </c>
      <c r="C36" s="41" t="s">
        <v>26</v>
      </c>
      <c r="D36" s="42" t="s">
        <v>22</v>
      </c>
      <c r="E36" s="48"/>
      <c r="F36" s="56">
        <f>SUM(F37:F40)</f>
        <v>15500000</v>
      </c>
      <c r="G36" s="56">
        <f>SUM(G37:G40)</f>
        <v>-15500000</v>
      </c>
      <c r="H36" s="56">
        <f t="shared" si="0"/>
        <v>0</v>
      </c>
      <c r="I36" s="52"/>
      <c r="J36" s="52"/>
    </row>
    <row r="37" spans="1:19" s="53" customFormat="1" ht="56.25" x14ac:dyDescent="0.2">
      <c r="A37" s="41"/>
      <c r="B37" s="41"/>
      <c r="C37" s="41"/>
      <c r="D37" s="42"/>
      <c r="E37" s="65" t="s">
        <v>381</v>
      </c>
      <c r="F37" s="66">
        <v>2000000</v>
      </c>
      <c r="G37" s="66">
        <v>-2000000</v>
      </c>
      <c r="H37" s="66">
        <f t="shared" si="0"/>
        <v>0</v>
      </c>
      <c r="I37" s="52"/>
      <c r="J37" s="52"/>
    </row>
    <row r="38" spans="1:19" s="53" customFormat="1" ht="37.5" x14ac:dyDescent="0.2">
      <c r="A38" s="41"/>
      <c r="B38" s="41"/>
      <c r="C38" s="41"/>
      <c r="D38" s="42"/>
      <c r="E38" s="65" t="s">
        <v>221</v>
      </c>
      <c r="F38" s="66">
        <v>10000000</v>
      </c>
      <c r="G38" s="66">
        <v>-10000000</v>
      </c>
      <c r="H38" s="66">
        <f t="shared" si="0"/>
        <v>0</v>
      </c>
      <c r="I38" s="52"/>
      <c r="J38" s="52"/>
    </row>
    <row r="39" spans="1:19" s="32" customFormat="1" ht="37.5" x14ac:dyDescent="0.2">
      <c r="A39" s="41"/>
      <c r="B39" s="41"/>
      <c r="C39" s="41"/>
      <c r="D39" s="42"/>
      <c r="E39" s="7" t="s">
        <v>222</v>
      </c>
      <c r="F39" s="66">
        <v>1000000</v>
      </c>
      <c r="G39" s="66">
        <v>-1000000</v>
      </c>
      <c r="H39" s="66">
        <f t="shared" si="0"/>
        <v>0</v>
      </c>
    </row>
    <row r="40" spans="1:19" s="15" customFormat="1" ht="37.5" x14ac:dyDescent="0.2">
      <c r="A40" s="61"/>
      <c r="B40" s="62"/>
      <c r="C40" s="62"/>
      <c r="D40" s="63"/>
      <c r="E40" s="8" t="s">
        <v>382</v>
      </c>
      <c r="F40" s="66">
        <v>2500000</v>
      </c>
      <c r="G40" s="66">
        <v>-2500000</v>
      </c>
      <c r="H40" s="66">
        <f t="shared" si="0"/>
        <v>0</v>
      </c>
    </row>
    <row r="41" spans="1:19" s="32" customFormat="1" ht="37.5" x14ac:dyDescent="0.2">
      <c r="A41" s="29">
        <v>1500000</v>
      </c>
      <c r="B41" s="33"/>
      <c r="C41" s="33"/>
      <c r="D41" s="29" t="s">
        <v>82</v>
      </c>
      <c r="E41" s="65"/>
      <c r="F41" s="30">
        <f>F62+F79+F81+F43+F85+F75</f>
        <v>350700000</v>
      </c>
      <c r="G41" s="30">
        <f>G62+G79+G81+G43+G85+G75</f>
        <v>-350700000</v>
      </c>
      <c r="H41" s="30">
        <f t="shared" si="0"/>
        <v>0</v>
      </c>
    </row>
    <row r="42" spans="1:19" s="32" customFormat="1" ht="37.5" x14ac:dyDescent="0.2">
      <c r="A42" s="29">
        <v>1510000</v>
      </c>
      <c r="B42" s="33"/>
      <c r="C42" s="33"/>
      <c r="D42" s="37" t="s">
        <v>82</v>
      </c>
      <c r="E42" s="65"/>
      <c r="F42" s="30"/>
      <c r="G42" s="30"/>
      <c r="H42" s="30">
        <f t="shared" si="0"/>
        <v>0</v>
      </c>
    </row>
    <row r="43" spans="1:19" s="32" customFormat="1" ht="37.5" x14ac:dyDescent="0.2">
      <c r="A43" s="41" t="s">
        <v>76</v>
      </c>
      <c r="B43" s="41" t="s">
        <v>25</v>
      </c>
      <c r="C43" s="41" t="s">
        <v>26</v>
      </c>
      <c r="D43" s="42" t="s">
        <v>22</v>
      </c>
      <c r="E43" s="28"/>
      <c r="F43" s="44">
        <f>SUM(F44:F61)</f>
        <v>284700000</v>
      </c>
      <c r="G43" s="44">
        <f>SUM(G44:G61)</f>
        <v>-284700000</v>
      </c>
      <c r="H43" s="44">
        <f t="shared" si="0"/>
        <v>0</v>
      </c>
    </row>
    <row r="44" spans="1:19" s="32" customFormat="1" x14ac:dyDescent="0.2">
      <c r="A44" s="41"/>
      <c r="B44" s="41"/>
      <c r="C44" s="41"/>
      <c r="D44" s="42"/>
      <c r="E44" s="28" t="s">
        <v>85</v>
      </c>
      <c r="F44" s="44"/>
      <c r="G44" s="44"/>
      <c r="H44" s="44">
        <f t="shared" si="0"/>
        <v>0</v>
      </c>
    </row>
    <row r="45" spans="1:19" s="32" customFormat="1" ht="56.25" x14ac:dyDescent="0.2">
      <c r="A45" s="41"/>
      <c r="B45" s="41"/>
      <c r="C45" s="41"/>
      <c r="D45" s="42"/>
      <c r="E45" s="7" t="s">
        <v>383</v>
      </c>
      <c r="F45" s="66">
        <v>1500000</v>
      </c>
      <c r="G45" s="66">
        <v>-1500000</v>
      </c>
      <c r="H45" s="66">
        <f t="shared" si="0"/>
        <v>0</v>
      </c>
    </row>
    <row r="46" spans="1:19" s="32" customFormat="1" ht="37.5" x14ac:dyDescent="0.2">
      <c r="A46" s="41"/>
      <c r="B46" s="41"/>
      <c r="C46" s="41"/>
      <c r="D46" s="42"/>
      <c r="E46" s="7" t="s">
        <v>351</v>
      </c>
      <c r="F46" s="66">
        <v>30000000</v>
      </c>
      <c r="G46" s="66">
        <v>-30000000</v>
      </c>
      <c r="H46" s="66">
        <f t="shared" si="0"/>
        <v>0</v>
      </c>
    </row>
    <row r="47" spans="1:19" s="32" customFormat="1" ht="37.5" x14ac:dyDescent="0.2">
      <c r="A47" s="41"/>
      <c r="B47" s="41"/>
      <c r="C47" s="41"/>
      <c r="D47" s="42"/>
      <c r="E47" s="7" t="s">
        <v>384</v>
      </c>
      <c r="F47" s="66">
        <v>1000000</v>
      </c>
      <c r="G47" s="66">
        <v>-1000000</v>
      </c>
      <c r="H47" s="66">
        <f t="shared" si="0"/>
        <v>0</v>
      </c>
    </row>
    <row r="48" spans="1:19" s="32" customFormat="1" ht="75" x14ac:dyDescent="0.2">
      <c r="A48" s="41"/>
      <c r="B48" s="41"/>
      <c r="C48" s="41"/>
      <c r="D48" s="42"/>
      <c r="E48" s="7" t="s">
        <v>86</v>
      </c>
      <c r="F48" s="66">
        <v>130000000</v>
      </c>
      <c r="G48" s="66">
        <v>-130000000</v>
      </c>
      <c r="H48" s="66">
        <f t="shared" si="0"/>
        <v>0</v>
      </c>
    </row>
    <row r="49" spans="1:8" s="32" customFormat="1" ht="93.75" x14ac:dyDescent="0.2">
      <c r="A49" s="41"/>
      <c r="B49" s="41"/>
      <c r="C49" s="41"/>
      <c r="D49" s="42"/>
      <c r="E49" s="7" t="s">
        <v>87</v>
      </c>
      <c r="F49" s="66">
        <v>10000000</v>
      </c>
      <c r="G49" s="66">
        <v>-10000000</v>
      </c>
      <c r="H49" s="66">
        <f t="shared" si="0"/>
        <v>0</v>
      </c>
    </row>
    <row r="50" spans="1:8" s="32" customFormat="1" ht="75" x14ac:dyDescent="0.2">
      <c r="A50" s="41"/>
      <c r="B50" s="41"/>
      <c r="C50" s="41"/>
      <c r="D50" s="42"/>
      <c r="E50" s="7" t="s">
        <v>88</v>
      </c>
      <c r="F50" s="66">
        <v>43000000</v>
      </c>
      <c r="G50" s="66">
        <v>-43000000</v>
      </c>
      <c r="H50" s="66">
        <f t="shared" si="0"/>
        <v>0</v>
      </c>
    </row>
    <row r="51" spans="1:8" s="32" customFormat="1" x14ac:dyDescent="0.2">
      <c r="A51" s="41"/>
      <c r="B51" s="41"/>
      <c r="C51" s="41"/>
      <c r="D51" s="42"/>
      <c r="E51" s="28" t="s">
        <v>385</v>
      </c>
      <c r="F51" s="66">
        <v>0</v>
      </c>
      <c r="G51" s="66"/>
      <c r="H51" s="66">
        <f t="shared" si="0"/>
        <v>0</v>
      </c>
    </row>
    <row r="52" spans="1:8" s="32" customFormat="1" ht="37.5" x14ac:dyDescent="0.2">
      <c r="A52" s="41"/>
      <c r="B52" s="41"/>
      <c r="C52" s="41"/>
      <c r="D52" s="42"/>
      <c r="E52" s="7" t="s">
        <v>386</v>
      </c>
      <c r="F52" s="66">
        <v>5000000</v>
      </c>
      <c r="G52" s="66">
        <v>-5000000</v>
      </c>
      <c r="H52" s="66">
        <f t="shared" si="0"/>
        <v>0</v>
      </c>
    </row>
    <row r="53" spans="1:8" s="32" customFormat="1" ht="37.5" x14ac:dyDescent="0.2">
      <c r="A53" s="41"/>
      <c r="B53" s="41"/>
      <c r="C53" s="41"/>
      <c r="D53" s="42"/>
      <c r="E53" s="7" t="s">
        <v>387</v>
      </c>
      <c r="F53" s="66">
        <v>9000000</v>
      </c>
      <c r="G53" s="66">
        <v>-9000000</v>
      </c>
      <c r="H53" s="66">
        <f t="shared" si="0"/>
        <v>0</v>
      </c>
    </row>
    <row r="54" spans="1:8" s="32" customFormat="1" ht="56.25" x14ac:dyDescent="0.2">
      <c r="A54" s="41"/>
      <c r="B54" s="41"/>
      <c r="C54" s="41"/>
      <c r="D54" s="42"/>
      <c r="E54" s="7" t="s">
        <v>308</v>
      </c>
      <c r="F54" s="66">
        <v>1000000</v>
      </c>
      <c r="G54" s="66">
        <v>-1000000</v>
      </c>
      <c r="H54" s="66">
        <f t="shared" si="0"/>
        <v>0</v>
      </c>
    </row>
    <row r="55" spans="1:8" s="32" customFormat="1" ht="37.5" x14ac:dyDescent="0.2">
      <c r="A55" s="41"/>
      <c r="B55" s="41"/>
      <c r="C55" s="41"/>
      <c r="D55" s="42"/>
      <c r="E55" s="7" t="s">
        <v>206</v>
      </c>
      <c r="F55" s="66">
        <v>6000000</v>
      </c>
      <c r="G55" s="66">
        <v>-6000000</v>
      </c>
      <c r="H55" s="66">
        <f t="shared" si="0"/>
        <v>0</v>
      </c>
    </row>
    <row r="56" spans="1:8" s="32" customFormat="1" x14ac:dyDescent="0.2">
      <c r="A56" s="41"/>
      <c r="B56" s="41"/>
      <c r="C56" s="41"/>
      <c r="D56" s="42"/>
      <c r="E56" s="65" t="s">
        <v>373</v>
      </c>
      <c r="F56" s="66">
        <f>35000000-2300000</f>
        <v>32700000</v>
      </c>
      <c r="G56" s="66">
        <v>-32700000</v>
      </c>
      <c r="H56" s="66">
        <f t="shared" si="0"/>
        <v>0</v>
      </c>
    </row>
    <row r="57" spans="1:8" s="32" customFormat="1" x14ac:dyDescent="0.2">
      <c r="A57" s="41"/>
      <c r="B57" s="41"/>
      <c r="C57" s="41"/>
      <c r="D57" s="42"/>
      <c r="E57" s="28" t="s">
        <v>388</v>
      </c>
      <c r="F57" s="66">
        <v>0</v>
      </c>
      <c r="G57" s="66"/>
      <c r="H57" s="66">
        <f t="shared" si="0"/>
        <v>0</v>
      </c>
    </row>
    <row r="58" spans="1:8" s="32" customFormat="1" ht="37.5" x14ac:dyDescent="0.2">
      <c r="A58" s="41"/>
      <c r="B58" s="41"/>
      <c r="C58" s="41"/>
      <c r="D58" s="42"/>
      <c r="E58" s="67" t="s">
        <v>389</v>
      </c>
      <c r="F58" s="66">
        <v>12000000</v>
      </c>
      <c r="G58" s="66">
        <v>-12000000</v>
      </c>
      <c r="H58" s="66">
        <f t="shared" si="0"/>
        <v>0</v>
      </c>
    </row>
    <row r="59" spans="1:8" s="32" customFormat="1" ht="37.5" x14ac:dyDescent="0.2">
      <c r="A59" s="41"/>
      <c r="B59" s="41"/>
      <c r="C59" s="41"/>
      <c r="D59" s="42"/>
      <c r="E59" s="7" t="s">
        <v>390</v>
      </c>
      <c r="F59" s="66">
        <v>1500000</v>
      </c>
      <c r="G59" s="66">
        <v>-1500000</v>
      </c>
      <c r="H59" s="66">
        <f t="shared" si="0"/>
        <v>0</v>
      </c>
    </row>
    <row r="60" spans="1:8" s="32" customFormat="1" ht="37.5" x14ac:dyDescent="0.2">
      <c r="A60" s="41"/>
      <c r="B60" s="41"/>
      <c r="C60" s="41"/>
      <c r="D60" s="42"/>
      <c r="E60" s="67" t="s">
        <v>318</v>
      </c>
      <c r="F60" s="66">
        <v>1500000</v>
      </c>
      <c r="G60" s="66">
        <v>-1500000</v>
      </c>
      <c r="H60" s="66">
        <f t="shared" si="0"/>
        <v>0</v>
      </c>
    </row>
    <row r="61" spans="1:8" s="32" customFormat="1" ht="37.5" x14ac:dyDescent="0.2">
      <c r="A61" s="41"/>
      <c r="B61" s="41"/>
      <c r="C61" s="41"/>
      <c r="D61" s="42"/>
      <c r="E61" s="7" t="s">
        <v>391</v>
      </c>
      <c r="F61" s="66">
        <v>500000</v>
      </c>
      <c r="G61" s="66">
        <v>-500000</v>
      </c>
      <c r="H61" s="66">
        <f t="shared" si="0"/>
        <v>0</v>
      </c>
    </row>
    <row r="62" spans="1:8" s="69" customFormat="1" x14ac:dyDescent="0.2">
      <c r="A62" s="41" t="s">
        <v>77</v>
      </c>
      <c r="B62" s="41" t="s">
        <v>98</v>
      </c>
      <c r="C62" s="41" t="s">
        <v>26</v>
      </c>
      <c r="D62" s="42" t="s">
        <v>89</v>
      </c>
      <c r="E62" s="38"/>
      <c r="F62" s="68">
        <f>SUM(F63:F74)</f>
        <v>50500000</v>
      </c>
      <c r="G62" s="68">
        <f>SUM(G63:G74)</f>
        <v>-50500000</v>
      </c>
      <c r="H62" s="68">
        <f t="shared" si="0"/>
        <v>0</v>
      </c>
    </row>
    <row r="63" spans="1:8" s="69" customFormat="1" x14ac:dyDescent="0.2">
      <c r="A63" s="41"/>
      <c r="B63" s="41"/>
      <c r="C63" s="41"/>
      <c r="D63" s="42"/>
      <c r="E63" s="29" t="s">
        <v>251</v>
      </c>
      <c r="F63" s="68"/>
      <c r="G63" s="68"/>
      <c r="H63" s="68">
        <f t="shared" si="0"/>
        <v>0</v>
      </c>
    </row>
    <row r="64" spans="1:8" s="69" customFormat="1" ht="37.5" x14ac:dyDescent="0.2">
      <c r="A64" s="41"/>
      <c r="B64" s="41"/>
      <c r="C64" s="41"/>
      <c r="D64" s="42"/>
      <c r="E64" s="7" t="s">
        <v>322</v>
      </c>
      <c r="F64" s="66">
        <v>1200000</v>
      </c>
      <c r="G64" s="66">
        <v>-1200000</v>
      </c>
      <c r="H64" s="66">
        <f t="shared" si="0"/>
        <v>0</v>
      </c>
    </row>
    <row r="65" spans="1:8" s="69" customFormat="1" x14ac:dyDescent="0.2">
      <c r="A65" s="41"/>
      <c r="B65" s="41"/>
      <c r="C65" s="41"/>
      <c r="D65" s="42"/>
      <c r="E65" s="29" t="s">
        <v>248</v>
      </c>
      <c r="F65" s="68"/>
      <c r="G65" s="68"/>
      <c r="H65" s="68">
        <f t="shared" si="0"/>
        <v>0</v>
      </c>
    </row>
    <row r="66" spans="1:8" s="32" customFormat="1" x14ac:dyDescent="0.2">
      <c r="A66" s="41"/>
      <c r="B66" s="41"/>
      <c r="C66" s="41"/>
      <c r="D66" s="42"/>
      <c r="E66" s="7" t="s">
        <v>242</v>
      </c>
      <c r="F66" s="66">
        <v>10000000</v>
      </c>
      <c r="G66" s="66">
        <v>-10000000</v>
      </c>
      <c r="H66" s="66">
        <f t="shared" si="0"/>
        <v>0</v>
      </c>
    </row>
    <row r="67" spans="1:8" s="32" customFormat="1" x14ac:dyDescent="0.2">
      <c r="A67" s="41"/>
      <c r="B67" s="41"/>
      <c r="C67" s="41"/>
      <c r="D67" s="42"/>
      <c r="E67" s="7" t="s">
        <v>241</v>
      </c>
      <c r="F67" s="66">
        <v>8000000</v>
      </c>
      <c r="G67" s="66">
        <v>-8000000</v>
      </c>
      <c r="H67" s="66">
        <f t="shared" si="0"/>
        <v>0</v>
      </c>
    </row>
    <row r="68" spans="1:8" s="32" customFormat="1" ht="37.5" x14ac:dyDescent="0.2">
      <c r="A68" s="41"/>
      <c r="B68" s="41"/>
      <c r="C68" s="41"/>
      <c r="D68" s="42"/>
      <c r="E68" s="7" t="s">
        <v>90</v>
      </c>
      <c r="F68" s="66">
        <v>10000000</v>
      </c>
      <c r="G68" s="66">
        <v>-10000000</v>
      </c>
      <c r="H68" s="66">
        <f t="shared" si="0"/>
        <v>0</v>
      </c>
    </row>
    <row r="69" spans="1:8" s="32" customFormat="1" ht="37.5" x14ac:dyDescent="0.2">
      <c r="A69" s="41"/>
      <c r="B69" s="41"/>
      <c r="C69" s="41"/>
      <c r="D69" s="42"/>
      <c r="E69" s="8" t="s">
        <v>392</v>
      </c>
      <c r="F69" s="66">
        <v>300000</v>
      </c>
      <c r="G69" s="66">
        <v>-300000</v>
      </c>
      <c r="H69" s="66">
        <f t="shared" si="0"/>
        <v>0</v>
      </c>
    </row>
    <row r="70" spans="1:8" s="32" customFormat="1" ht="37.5" x14ac:dyDescent="0.2">
      <c r="A70" s="41"/>
      <c r="B70" s="41"/>
      <c r="C70" s="41"/>
      <c r="D70" s="42"/>
      <c r="E70" s="7" t="s">
        <v>321</v>
      </c>
      <c r="F70" s="66">
        <v>5000000</v>
      </c>
      <c r="G70" s="66">
        <v>-5000000</v>
      </c>
      <c r="H70" s="66">
        <f t="shared" si="0"/>
        <v>0</v>
      </c>
    </row>
    <row r="71" spans="1:8" s="32" customFormat="1" ht="37.5" x14ac:dyDescent="0.2">
      <c r="A71" s="41"/>
      <c r="B71" s="41"/>
      <c r="C71" s="41"/>
      <c r="D71" s="42"/>
      <c r="E71" s="7" t="s">
        <v>207</v>
      </c>
      <c r="F71" s="66">
        <v>1000000</v>
      </c>
      <c r="G71" s="66">
        <v>-1000000</v>
      </c>
      <c r="H71" s="66">
        <f t="shared" si="0"/>
        <v>0</v>
      </c>
    </row>
    <row r="72" spans="1:8" s="32" customFormat="1" x14ac:dyDescent="0.2">
      <c r="A72" s="41"/>
      <c r="B72" s="41"/>
      <c r="C72" s="41"/>
      <c r="D72" s="42"/>
      <c r="E72" s="28" t="s">
        <v>247</v>
      </c>
      <c r="F72" s="66">
        <v>0</v>
      </c>
      <c r="G72" s="66"/>
      <c r="H72" s="66">
        <f t="shared" si="0"/>
        <v>0</v>
      </c>
    </row>
    <row r="73" spans="1:8" s="32" customFormat="1" x14ac:dyDescent="0.2">
      <c r="A73" s="41"/>
      <c r="B73" s="41"/>
      <c r="C73" s="41"/>
      <c r="D73" s="42"/>
      <c r="E73" s="7" t="s">
        <v>91</v>
      </c>
      <c r="F73" s="66">
        <v>10000000</v>
      </c>
      <c r="G73" s="66">
        <v>-10000000</v>
      </c>
      <c r="H73" s="66">
        <f t="shared" ref="H73:H97" si="1">F73+G73</f>
        <v>0</v>
      </c>
    </row>
    <row r="74" spans="1:8" s="32" customFormat="1" ht="56.25" x14ac:dyDescent="0.2">
      <c r="A74" s="41"/>
      <c r="B74" s="41"/>
      <c r="C74" s="41"/>
      <c r="D74" s="42"/>
      <c r="E74" s="7" t="s">
        <v>393</v>
      </c>
      <c r="F74" s="66">
        <v>5000000</v>
      </c>
      <c r="G74" s="66">
        <v>-5000000</v>
      </c>
      <c r="H74" s="66">
        <f t="shared" si="1"/>
        <v>0</v>
      </c>
    </row>
    <row r="75" spans="1:8" s="32" customFormat="1" x14ac:dyDescent="0.2">
      <c r="A75" s="41" t="s">
        <v>201</v>
      </c>
      <c r="B75" s="41" t="s">
        <v>202</v>
      </c>
      <c r="C75" s="41" t="s">
        <v>26</v>
      </c>
      <c r="D75" s="42" t="s">
        <v>203</v>
      </c>
      <c r="E75" s="7"/>
      <c r="F75" s="56">
        <f>SUM(F76:F78)</f>
        <v>3800000</v>
      </c>
      <c r="G75" s="56">
        <f>SUM(G76:G78)</f>
        <v>-3800000</v>
      </c>
      <c r="H75" s="56">
        <f t="shared" si="1"/>
        <v>0</v>
      </c>
    </row>
    <row r="76" spans="1:8" s="32" customFormat="1" ht="56.25" x14ac:dyDescent="0.2">
      <c r="A76" s="41"/>
      <c r="B76" s="41"/>
      <c r="C76" s="41"/>
      <c r="D76" s="42"/>
      <c r="E76" s="7" t="s">
        <v>326</v>
      </c>
      <c r="F76" s="66">
        <v>1500000</v>
      </c>
      <c r="G76" s="66">
        <v>-1500000</v>
      </c>
      <c r="H76" s="66">
        <f t="shared" si="1"/>
        <v>0</v>
      </c>
    </row>
    <row r="77" spans="1:8" s="32" customFormat="1" x14ac:dyDescent="0.2">
      <c r="A77" s="41"/>
      <c r="B77" s="41"/>
      <c r="C77" s="41"/>
      <c r="D77" s="42"/>
      <c r="E77" s="7" t="s">
        <v>327</v>
      </c>
      <c r="F77" s="66">
        <v>1300000</v>
      </c>
      <c r="G77" s="66">
        <v>-1300000</v>
      </c>
      <c r="H77" s="66">
        <f t="shared" si="1"/>
        <v>0</v>
      </c>
    </row>
    <row r="78" spans="1:8" s="32" customFormat="1" ht="56.25" x14ac:dyDescent="0.2">
      <c r="A78" s="41"/>
      <c r="B78" s="41"/>
      <c r="C78" s="41"/>
      <c r="D78" s="42"/>
      <c r="E78" s="7" t="s">
        <v>200</v>
      </c>
      <c r="F78" s="66">
        <v>1000000</v>
      </c>
      <c r="G78" s="66">
        <v>-1000000</v>
      </c>
      <c r="H78" s="66">
        <f t="shared" si="1"/>
        <v>0</v>
      </c>
    </row>
    <row r="79" spans="1:8" s="32" customFormat="1" x14ac:dyDescent="0.2">
      <c r="A79" s="41" t="s">
        <v>78</v>
      </c>
      <c r="B79" s="41" t="s">
        <v>99</v>
      </c>
      <c r="C79" s="41" t="s">
        <v>26</v>
      </c>
      <c r="D79" s="42" t="s">
        <v>92</v>
      </c>
      <c r="E79" s="28"/>
      <c r="F79" s="44">
        <f>SUM(F80:F80)</f>
        <v>1500000</v>
      </c>
      <c r="G79" s="44">
        <f>SUM(G80:G80)</f>
        <v>-1500000</v>
      </c>
      <c r="H79" s="44">
        <f t="shared" si="1"/>
        <v>0</v>
      </c>
    </row>
    <row r="80" spans="1:8" s="32" customFormat="1" ht="37.5" x14ac:dyDescent="0.2">
      <c r="A80" s="41"/>
      <c r="B80" s="41"/>
      <c r="C80" s="41"/>
      <c r="D80" s="42"/>
      <c r="E80" s="70" t="s">
        <v>329</v>
      </c>
      <c r="F80" s="66">
        <v>1500000</v>
      </c>
      <c r="G80" s="66">
        <v>-1500000</v>
      </c>
      <c r="H80" s="66">
        <f t="shared" si="1"/>
        <v>0</v>
      </c>
    </row>
    <row r="81" spans="1:10" s="32" customFormat="1" ht="37.5" x14ac:dyDescent="0.2">
      <c r="A81" s="41" t="s">
        <v>79</v>
      </c>
      <c r="B81" s="41" t="s">
        <v>100</v>
      </c>
      <c r="C81" s="41" t="s">
        <v>26</v>
      </c>
      <c r="D81" s="42" t="s">
        <v>93</v>
      </c>
      <c r="E81" s="67"/>
      <c r="F81" s="71">
        <f>SUM(F82:F84)</f>
        <v>5200000</v>
      </c>
      <c r="G81" s="71">
        <f>SUM(G82:G84)</f>
        <v>-5200000</v>
      </c>
      <c r="H81" s="71">
        <f t="shared" si="1"/>
        <v>0</v>
      </c>
    </row>
    <row r="82" spans="1:10" s="32" customFormat="1" x14ac:dyDescent="0.2">
      <c r="A82" s="41"/>
      <c r="B82" s="41"/>
      <c r="C82" s="41"/>
      <c r="D82" s="42"/>
      <c r="E82" s="7" t="s">
        <v>94</v>
      </c>
      <c r="F82" s="66">
        <v>3000000</v>
      </c>
      <c r="G82" s="66">
        <v>-3000000</v>
      </c>
      <c r="H82" s="66">
        <f t="shared" si="1"/>
        <v>0</v>
      </c>
    </row>
    <row r="83" spans="1:10" s="32" customFormat="1" ht="37.5" x14ac:dyDescent="0.2">
      <c r="A83" s="41"/>
      <c r="B83" s="41"/>
      <c r="C83" s="41"/>
      <c r="D83" s="42"/>
      <c r="E83" s="7" t="s">
        <v>394</v>
      </c>
      <c r="F83" s="66">
        <v>200000</v>
      </c>
      <c r="G83" s="66">
        <v>-200000</v>
      </c>
      <c r="H83" s="66">
        <f t="shared" si="1"/>
        <v>0</v>
      </c>
    </row>
    <row r="84" spans="1:10" s="32" customFormat="1" ht="56.25" x14ac:dyDescent="0.2">
      <c r="A84" s="41"/>
      <c r="B84" s="41"/>
      <c r="C84" s="41"/>
      <c r="D84" s="42"/>
      <c r="E84" s="7" t="s">
        <v>395</v>
      </c>
      <c r="F84" s="66">
        <v>2000000</v>
      </c>
      <c r="G84" s="66">
        <v>-2000000</v>
      </c>
      <c r="H84" s="66">
        <f t="shared" si="1"/>
        <v>0</v>
      </c>
    </row>
    <row r="85" spans="1:10" s="32" customFormat="1" ht="37.5" x14ac:dyDescent="0.2">
      <c r="A85" s="41" t="s">
        <v>81</v>
      </c>
      <c r="B85" s="41" t="s">
        <v>57</v>
      </c>
      <c r="C85" s="41" t="s">
        <v>26</v>
      </c>
      <c r="D85" s="42" t="s">
        <v>58</v>
      </c>
      <c r="E85" s="72"/>
      <c r="F85" s="56">
        <f>SUM(F86:F87)</f>
        <v>5000000</v>
      </c>
      <c r="G85" s="56">
        <f>SUM(G86:G87)</f>
        <v>-5000000</v>
      </c>
      <c r="H85" s="56">
        <f t="shared" si="1"/>
        <v>0</v>
      </c>
    </row>
    <row r="86" spans="1:10" s="32" customFormat="1" ht="56.25" x14ac:dyDescent="0.2">
      <c r="A86" s="41"/>
      <c r="B86" s="41"/>
      <c r="C86" s="41"/>
      <c r="D86" s="42"/>
      <c r="E86" s="7" t="s">
        <v>396</v>
      </c>
      <c r="F86" s="66">
        <v>4000000</v>
      </c>
      <c r="G86" s="66">
        <v>-4000000</v>
      </c>
      <c r="H86" s="66">
        <f t="shared" si="1"/>
        <v>0</v>
      </c>
    </row>
    <row r="87" spans="1:10" s="32" customFormat="1" ht="37.5" x14ac:dyDescent="0.2">
      <c r="A87" s="41"/>
      <c r="B87" s="41"/>
      <c r="C87" s="41"/>
      <c r="D87" s="42"/>
      <c r="E87" s="7" t="s">
        <v>331</v>
      </c>
      <c r="F87" s="66">
        <v>1000000</v>
      </c>
      <c r="G87" s="66">
        <v>-1000000</v>
      </c>
      <c r="H87" s="66">
        <f t="shared" si="1"/>
        <v>0</v>
      </c>
    </row>
    <row r="88" spans="1:10" s="32" customFormat="1" ht="37.5" x14ac:dyDescent="0.2">
      <c r="A88" s="33" t="s">
        <v>1</v>
      </c>
      <c r="B88" s="33"/>
      <c r="C88" s="33"/>
      <c r="D88" s="33" t="s">
        <v>2</v>
      </c>
      <c r="E88" s="8"/>
      <c r="F88" s="49">
        <f>F90</f>
        <v>1000000</v>
      </c>
      <c r="G88" s="49">
        <f>G90</f>
        <v>-1000000</v>
      </c>
      <c r="H88" s="49">
        <f t="shared" si="1"/>
        <v>0</v>
      </c>
    </row>
    <row r="89" spans="1:10" s="32" customFormat="1" ht="37.5" x14ac:dyDescent="0.2">
      <c r="A89" s="33" t="s">
        <v>3</v>
      </c>
      <c r="B89" s="33"/>
      <c r="C89" s="33"/>
      <c r="D89" s="58" t="s">
        <v>2</v>
      </c>
      <c r="E89" s="8"/>
      <c r="F89" s="49"/>
      <c r="G89" s="49"/>
      <c r="H89" s="49">
        <f t="shared" si="1"/>
        <v>0</v>
      </c>
    </row>
    <row r="90" spans="1:10" s="69" customFormat="1" ht="37.5" x14ac:dyDescent="0.2">
      <c r="A90" s="41" t="s">
        <v>56</v>
      </c>
      <c r="B90" s="41" t="s">
        <v>57</v>
      </c>
      <c r="C90" s="41" t="s">
        <v>26</v>
      </c>
      <c r="D90" s="42" t="s">
        <v>58</v>
      </c>
      <c r="E90" s="38"/>
      <c r="F90" s="44">
        <f>SUM(F91:F91)</f>
        <v>1000000</v>
      </c>
      <c r="G90" s="44">
        <f>SUM(G91:G91)</f>
        <v>-1000000</v>
      </c>
      <c r="H90" s="44">
        <f t="shared" si="1"/>
        <v>0</v>
      </c>
      <c r="I90" s="73"/>
      <c r="J90" s="73"/>
    </row>
    <row r="91" spans="1:10" s="32" customFormat="1" ht="37.5" x14ac:dyDescent="0.2">
      <c r="A91" s="74"/>
      <c r="B91" s="74"/>
      <c r="C91" s="74"/>
      <c r="D91" s="8"/>
      <c r="E91" s="65" t="s">
        <v>176</v>
      </c>
      <c r="F91" s="64">
        <v>1000000</v>
      </c>
      <c r="G91" s="64">
        <v>-1000000</v>
      </c>
      <c r="H91" s="64">
        <f t="shared" si="1"/>
        <v>0</v>
      </c>
      <c r="I91" s="31"/>
      <c r="J91" s="31"/>
    </row>
    <row r="92" spans="1:10" s="32" customFormat="1" x14ac:dyDescent="0.2">
      <c r="A92" s="33" t="s">
        <v>18</v>
      </c>
      <c r="B92" s="47"/>
      <c r="C92" s="47"/>
      <c r="D92" s="47" t="s">
        <v>19</v>
      </c>
      <c r="E92" s="8"/>
      <c r="F92" s="30">
        <f>F96+F94</f>
        <v>40000000</v>
      </c>
      <c r="G92" s="30">
        <f>G96+G94</f>
        <v>-40000000</v>
      </c>
      <c r="H92" s="30">
        <f t="shared" si="1"/>
        <v>0</v>
      </c>
      <c r="I92" s="31"/>
      <c r="J92" s="31"/>
    </row>
    <row r="93" spans="1:10" s="32" customFormat="1" x14ac:dyDescent="0.2">
      <c r="A93" s="33" t="s">
        <v>20</v>
      </c>
      <c r="B93" s="47"/>
      <c r="C93" s="47"/>
      <c r="D93" s="50" t="s">
        <v>19</v>
      </c>
      <c r="E93" s="8"/>
      <c r="F93" s="64"/>
      <c r="G93" s="64"/>
      <c r="H93" s="64">
        <f t="shared" si="1"/>
        <v>0</v>
      </c>
      <c r="I93" s="31"/>
      <c r="J93" s="31"/>
    </row>
    <row r="94" spans="1:10" s="69" customFormat="1" x14ac:dyDescent="0.2">
      <c r="A94" s="41" t="s">
        <v>226</v>
      </c>
      <c r="B94" s="54" t="s">
        <v>35</v>
      </c>
      <c r="C94" s="54" t="s">
        <v>36</v>
      </c>
      <c r="D94" s="55" t="s">
        <v>37</v>
      </c>
      <c r="E94" s="38"/>
      <c r="F94" s="68">
        <f>SUM(F95)</f>
        <v>5000000</v>
      </c>
      <c r="G94" s="68">
        <f>SUM(G95)</f>
        <v>-5000000</v>
      </c>
      <c r="H94" s="68">
        <f t="shared" si="1"/>
        <v>0</v>
      </c>
    </row>
    <row r="95" spans="1:10" s="32" customFormat="1" ht="56.25" x14ac:dyDescent="0.2">
      <c r="A95" s="41"/>
      <c r="B95" s="41"/>
      <c r="C95" s="41"/>
      <c r="D95" s="42"/>
      <c r="E95" s="67" t="s">
        <v>227</v>
      </c>
      <c r="F95" s="66">
        <v>5000000</v>
      </c>
      <c r="G95" s="66">
        <v>-5000000</v>
      </c>
      <c r="H95" s="66">
        <f t="shared" si="1"/>
        <v>0</v>
      </c>
    </row>
    <row r="96" spans="1:10" s="32" customFormat="1" x14ac:dyDescent="0.2">
      <c r="A96" s="41" t="s">
        <v>105</v>
      </c>
      <c r="B96" s="54" t="s">
        <v>106</v>
      </c>
      <c r="C96" s="54" t="s">
        <v>107</v>
      </c>
      <c r="D96" s="55" t="s">
        <v>108</v>
      </c>
      <c r="E96" s="67"/>
      <c r="F96" s="71">
        <f>SUM(F97)</f>
        <v>35000000</v>
      </c>
      <c r="G96" s="71">
        <f>SUM(G97)</f>
        <v>-35000000</v>
      </c>
      <c r="H96" s="71">
        <f t="shared" si="1"/>
        <v>0</v>
      </c>
    </row>
    <row r="97" spans="1:16" s="32" customFormat="1" x14ac:dyDescent="0.2">
      <c r="A97" s="75"/>
      <c r="B97" s="75"/>
      <c r="C97" s="75"/>
      <c r="D97" s="75"/>
      <c r="E97" s="67" t="s">
        <v>188</v>
      </c>
      <c r="F97" s="76">
        <v>35000000</v>
      </c>
      <c r="G97" s="76">
        <v>-35000000</v>
      </c>
      <c r="H97" s="76">
        <f t="shared" si="1"/>
        <v>0</v>
      </c>
    </row>
    <row r="98" spans="1:16" s="81" customFormat="1" ht="60.75" x14ac:dyDescent="0.2">
      <c r="A98" s="77"/>
      <c r="B98" s="77"/>
      <c r="C98" s="77"/>
      <c r="D98" s="77"/>
      <c r="E98" s="78" t="s">
        <v>398</v>
      </c>
      <c r="F98" s="79">
        <f>F9+F13+F17+F41+F88+F92</f>
        <v>500000000</v>
      </c>
      <c r="G98" s="79">
        <f>G9+G13+G17+G41+G88+G92</f>
        <v>-500000000</v>
      </c>
      <c r="H98" s="79">
        <f>H9+H13+H17+H41+H88+H92</f>
        <v>0</v>
      </c>
      <c r="I98" s="80"/>
      <c r="J98" s="80"/>
    </row>
    <row r="99" spans="1:16" s="32" customFormat="1" ht="20.25" x14ac:dyDescent="0.2">
      <c r="A99" s="168" t="s">
        <v>186</v>
      </c>
      <c r="B99" s="168"/>
      <c r="C99" s="168"/>
      <c r="D99" s="168"/>
      <c r="E99" s="168"/>
      <c r="F99" s="168"/>
      <c r="G99" s="168"/>
      <c r="H99" s="168"/>
      <c r="I99" s="31"/>
      <c r="J99" s="31"/>
      <c r="K99" s="31"/>
      <c r="L99" s="31"/>
      <c r="M99" s="31"/>
      <c r="N99" s="31"/>
      <c r="O99" s="31"/>
      <c r="P99" s="31"/>
    </row>
    <row r="100" spans="1:16" x14ac:dyDescent="0.2">
      <c r="A100" s="33" t="s">
        <v>159</v>
      </c>
      <c r="B100" s="33"/>
      <c r="C100" s="33"/>
      <c r="D100" s="33" t="s">
        <v>160</v>
      </c>
      <c r="E100" s="8"/>
      <c r="F100" s="51">
        <f>F102</f>
        <v>0</v>
      </c>
      <c r="G100" s="51">
        <f>G102</f>
        <v>159002</v>
      </c>
      <c r="H100" s="51">
        <f t="shared" ref="H100:H103" si="2">F100+G100</f>
        <v>159002</v>
      </c>
    </row>
    <row r="101" spans="1:16" x14ac:dyDescent="0.2">
      <c r="A101" s="33" t="s">
        <v>161</v>
      </c>
      <c r="B101" s="33"/>
      <c r="C101" s="33"/>
      <c r="D101" s="58" t="s">
        <v>160</v>
      </c>
      <c r="E101" s="8"/>
      <c r="F101" s="66"/>
      <c r="G101" s="66"/>
      <c r="H101" s="66">
        <f t="shared" si="2"/>
        <v>0</v>
      </c>
    </row>
    <row r="102" spans="1:16" ht="56.25" x14ac:dyDescent="0.2">
      <c r="A102" s="41" t="s">
        <v>363</v>
      </c>
      <c r="B102" s="54" t="s">
        <v>4</v>
      </c>
      <c r="C102" s="54" t="s">
        <v>5</v>
      </c>
      <c r="D102" s="55" t="s">
        <v>6</v>
      </c>
      <c r="E102" s="67"/>
      <c r="F102" s="66">
        <f>SUM(F103:F103)</f>
        <v>0</v>
      </c>
      <c r="G102" s="66">
        <f>SUM(G103:G103)</f>
        <v>159002</v>
      </c>
      <c r="H102" s="66">
        <f t="shared" si="2"/>
        <v>159002</v>
      </c>
    </row>
    <row r="103" spans="1:16" ht="37.5" x14ac:dyDescent="0.2">
      <c r="A103" s="41"/>
      <c r="B103" s="41"/>
      <c r="C103" s="41"/>
      <c r="D103" s="42"/>
      <c r="E103" s="65" t="s">
        <v>409</v>
      </c>
      <c r="F103" s="66"/>
      <c r="G103" s="66">
        <f>159002</f>
        <v>159002</v>
      </c>
      <c r="H103" s="66">
        <f t="shared" si="2"/>
        <v>159002</v>
      </c>
    </row>
    <row r="104" spans="1:16" s="31" customFormat="1" ht="37.5" x14ac:dyDescent="0.2">
      <c r="A104" s="33" t="s">
        <v>137</v>
      </c>
      <c r="B104" s="33"/>
      <c r="C104" s="33"/>
      <c r="D104" s="29" t="s">
        <v>138</v>
      </c>
      <c r="E104" s="82"/>
      <c r="F104" s="30">
        <f>F106+F109+F113+F115+F117</f>
        <v>5193390</v>
      </c>
      <c r="G104" s="30">
        <f>G106+G109+G113+G115+G117</f>
        <v>-668760</v>
      </c>
      <c r="H104" s="30">
        <f>F104+G104</f>
        <v>4524630</v>
      </c>
    </row>
    <row r="105" spans="1:16" s="31" customFormat="1" ht="37.5" x14ac:dyDescent="0.2">
      <c r="A105" s="33" t="s">
        <v>139</v>
      </c>
      <c r="B105" s="33"/>
      <c r="C105" s="33"/>
      <c r="D105" s="37" t="s">
        <v>138</v>
      </c>
      <c r="E105" s="82"/>
      <c r="F105" s="30"/>
      <c r="G105" s="30"/>
      <c r="H105" s="30"/>
    </row>
    <row r="106" spans="1:16" s="31" customFormat="1" x14ac:dyDescent="0.2">
      <c r="A106" s="41" t="s">
        <v>142</v>
      </c>
      <c r="B106" s="41" t="s">
        <v>96</v>
      </c>
      <c r="C106" s="41" t="s">
        <v>97</v>
      </c>
      <c r="D106" s="42" t="s">
        <v>83</v>
      </c>
      <c r="E106" s="8"/>
      <c r="F106" s="44">
        <f>SUM(F107:F108)</f>
        <v>1065479</v>
      </c>
      <c r="G106" s="44">
        <f>SUM(G107:G108)</f>
        <v>-7760</v>
      </c>
      <c r="H106" s="44">
        <f>F106+G106</f>
        <v>1057719</v>
      </c>
    </row>
    <row r="107" spans="1:16" s="31" customFormat="1" x14ac:dyDescent="0.2">
      <c r="A107" s="41"/>
      <c r="B107" s="41"/>
      <c r="C107" s="41"/>
      <c r="D107" s="42"/>
      <c r="E107" s="65" t="s">
        <v>195</v>
      </c>
      <c r="F107" s="66">
        <v>986462</v>
      </c>
      <c r="G107" s="66">
        <f>-7760</f>
        <v>-7760</v>
      </c>
      <c r="H107" s="66">
        <f t="shared" ref="H107" si="3">F107+G107</f>
        <v>978702</v>
      </c>
    </row>
    <row r="108" spans="1:16" s="32" customFormat="1" ht="37.5" x14ac:dyDescent="0.2">
      <c r="A108" s="33"/>
      <c r="B108" s="33"/>
      <c r="C108" s="33"/>
      <c r="D108" s="37"/>
      <c r="E108" s="83" t="s">
        <v>276</v>
      </c>
      <c r="F108" s="66">
        <v>79017</v>
      </c>
      <c r="G108" s="66"/>
      <c r="H108" s="66">
        <f>F108+G108</f>
        <v>79017</v>
      </c>
    </row>
    <row r="109" spans="1:16" s="31" customFormat="1" ht="75" x14ac:dyDescent="0.2">
      <c r="A109" s="41" t="s">
        <v>143</v>
      </c>
      <c r="B109" s="41" t="s">
        <v>50</v>
      </c>
      <c r="C109" s="41" t="s">
        <v>144</v>
      </c>
      <c r="D109" s="42" t="s">
        <v>252</v>
      </c>
      <c r="E109" s="8"/>
      <c r="F109" s="44">
        <f>SUM(F110:F112)</f>
        <v>3816399</v>
      </c>
      <c r="G109" s="44">
        <f>SUM(G110:G112)</f>
        <v>-661000</v>
      </c>
      <c r="H109" s="44">
        <f>F109+G109</f>
        <v>3155399</v>
      </c>
    </row>
    <row r="110" spans="1:16" s="31" customFormat="1" x14ac:dyDescent="0.2">
      <c r="A110" s="41"/>
      <c r="B110" s="41"/>
      <c r="C110" s="41"/>
      <c r="D110" s="42"/>
      <c r="E110" s="65" t="s">
        <v>195</v>
      </c>
      <c r="F110" s="66">
        <v>3428731</v>
      </c>
      <c r="G110" s="66">
        <f>-661000</f>
        <v>-661000</v>
      </c>
      <c r="H110" s="66">
        <f t="shared" ref="H110:H111" si="4">F110+G110</f>
        <v>2767731</v>
      </c>
    </row>
    <row r="111" spans="1:16" s="31" customFormat="1" ht="37.5" x14ac:dyDescent="0.2">
      <c r="A111" s="41"/>
      <c r="B111" s="41"/>
      <c r="C111" s="41"/>
      <c r="D111" s="42"/>
      <c r="E111" s="83" t="s">
        <v>276</v>
      </c>
      <c r="F111" s="66">
        <f>147990</f>
        <v>147990</v>
      </c>
      <c r="G111" s="66"/>
      <c r="H111" s="66">
        <f t="shared" si="4"/>
        <v>147990</v>
      </c>
    </row>
    <row r="112" spans="1:16" s="32" customFormat="1" ht="37.5" x14ac:dyDescent="0.2">
      <c r="A112" s="33"/>
      <c r="B112" s="33"/>
      <c r="C112" s="33"/>
      <c r="D112" s="37"/>
      <c r="E112" s="83" t="s">
        <v>275</v>
      </c>
      <c r="F112" s="66">
        <f>239678</f>
        <v>239678</v>
      </c>
      <c r="G112" s="66"/>
      <c r="H112" s="66">
        <f>F112+G112</f>
        <v>239678</v>
      </c>
    </row>
    <row r="113" spans="1:8" s="32" customFormat="1" ht="75" x14ac:dyDescent="0.2">
      <c r="A113" s="41" t="s">
        <v>145</v>
      </c>
      <c r="B113" s="41" t="s">
        <v>146</v>
      </c>
      <c r="C113" s="41" t="s">
        <v>147</v>
      </c>
      <c r="D113" s="42" t="s">
        <v>253</v>
      </c>
      <c r="E113" s="8"/>
      <c r="F113" s="56">
        <f>SUM(F114:F114)</f>
        <v>191350</v>
      </c>
      <c r="G113" s="56">
        <f>SUM(G114:G114)</f>
        <v>0</v>
      </c>
      <c r="H113" s="56">
        <f t="shared" ref="H113:H118" si="5">F113+G113</f>
        <v>191350</v>
      </c>
    </row>
    <row r="114" spans="1:8" s="32" customFormat="1" x14ac:dyDescent="0.2">
      <c r="A114" s="33"/>
      <c r="B114" s="33"/>
      <c r="C114" s="33"/>
      <c r="D114" s="37"/>
      <c r="E114" s="65" t="s">
        <v>195</v>
      </c>
      <c r="F114" s="66">
        <f>191350</f>
        <v>191350</v>
      </c>
      <c r="G114" s="66"/>
      <c r="H114" s="66">
        <f t="shared" si="5"/>
        <v>191350</v>
      </c>
    </row>
    <row r="115" spans="1:8" s="32" customFormat="1" ht="56.25" x14ac:dyDescent="0.2">
      <c r="A115" s="41" t="s">
        <v>148</v>
      </c>
      <c r="B115" s="41" t="s">
        <v>52</v>
      </c>
      <c r="C115" s="41" t="s">
        <v>14</v>
      </c>
      <c r="D115" s="42" t="s">
        <v>254</v>
      </c>
      <c r="E115" s="8"/>
      <c r="F115" s="56">
        <f>SUM(F116:F116)</f>
        <v>25000</v>
      </c>
      <c r="G115" s="56">
        <f>SUM(G116:G116)</f>
        <v>0</v>
      </c>
      <c r="H115" s="56">
        <f t="shared" si="5"/>
        <v>25000</v>
      </c>
    </row>
    <row r="116" spans="1:8" s="32" customFormat="1" ht="37.5" x14ac:dyDescent="0.2">
      <c r="A116" s="33"/>
      <c r="B116" s="33"/>
      <c r="C116" s="33"/>
      <c r="D116" s="37"/>
      <c r="E116" s="83" t="s">
        <v>276</v>
      </c>
      <c r="F116" s="66">
        <f>25000</f>
        <v>25000</v>
      </c>
      <c r="G116" s="66"/>
      <c r="H116" s="66">
        <f t="shared" si="5"/>
        <v>25000</v>
      </c>
    </row>
    <row r="117" spans="1:8" s="32" customFormat="1" ht="56.25" x14ac:dyDescent="0.2">
      <c r="A117" s="41" t="s">
        <v>156</v>
      </c>
      <c r="B117" s="41" t="s">
        <v>157</v>
      </c>
      <c r="C117" s="41" t="s">
        <v>113</v>
      </c>
      <c r="D117" s="42" t="s">
        <v>158</v>
      </c>
      <c r="E117" s="8"/>
      <c r="F117" s="56">
        <f>SUM(F118:F118)</f>
        <v>95162</v>
      </c>
      <c r="G117" s="56">
        <f>SUM(G118:G118)</f>
        <v>0</v>
      </c>
      <c r="H117" s="56">
        <f t="shared" si="5"/>
        <v>95162</v>
      </c>
    </row>
    <row r="118" spans="1:8" s="32" customFormat="1" x14ac:dyDescent="0.2">
      <c r="A118" s="33"/>
      <c r="B118" s="33"/>
      <c r="C118" s="33"/>
      <c r="D118" s="37"/>
      <c r="E118" s="65" t="s">
        <v>195</v>
      </c>
      <c r="F118" s="66">
        <f>95162</f>
        <v>95162</v>
      </c>
      <c r="G118" s="66"/>
      <c r="H118" s="66">
        <f t="shared" si="5"/>
        <v>95162</v>
      </c>
    </row>
    <row r="119" spans="1:8" s="31" customFormat="1" x14ac:dyDescent="0.2">
      <c r="A119" s="47" t="s">
        <v>59</v>
      </c>
      <c r="B119" s="47"/>
      <c r="C119" s="47"/>
      <c r="D119" s="47" t="s">
        <v>60</v>
      </c>
      <c r="E119" s="82"/>
      <c r="F119" s="30">
        <f>F121+F123+F127+F125</f>
        <v>2691292</v>
      </c>
      <c r="G119" s="30">
        <f>G121+G123+G127+G125</f>
        <v>285848</v>
      </c>
      <c r="H119" s="30">
        <f>F119+G119</f>
        <v>2977140</v>
      </c>
    </row>
    <row r="120" spans="1:8" s="31" customFormat="1" x14ac:dyDescent="0.2">
      <c r="A120" s="47" t="s">
        <v>61</v>
      </c>
      <c r="B120" s="47"/>
      <c r="C120" s="47"/>
      <c r="D120" s="50" t="s">
        <v>60</v>
      </c>
      <c r="E120" s="82"/>
      <c r="F120" s="30"/>
      <c r="G120" s="30"/>
      <c r="H120" s="30"/>
    </row>
    <row r="121" spans="1:8" s="31" customFormat="1" ht="37.5" x14ac:dyDescent="0.2">
      <c r="A121" s="54" t="s">
        <v>62</v>
      </c>
      <c r="B121" s="54" t="s">
        <v>63</v>
      </c>
      <c r="C121" s="54" t="s">
        <v>64</v>
      </c>
      <c r="D121" s="55" t="s">
        <v>65</v>
      </c>
      <c r="E121" s="8"/>
      <c r="F121" s="56">
        <f>SUM(F122:F122)</f>
        <v>42000</v>
      </c>
      <c r="G121" s="56">
        <f>SUM(G122:G122)</f>
        <v>0</v>
      </c>
      <c r="H121" s="56">
        <f t="shared" ref="H121:H128" si="6">F121+G121</f>
        <v>42000</v>
      </c>
    </row>
    <row r="122" spans="1:8" s="32" customFormat="1" ht="37.5" x14ac:dyDescent="0.2">
      <c r="A122" s="33"/>
      <c r="B122" s="33"/>
      <c r="C122" s="33"/>
      <c r="D122" s="37"/>
      <c r="E122" s="83" t="s">
        <v>275</v>
      </c>
      <c r="F122" s="66">
        <f>42000</f>
        <v>42000</v>
      </c>
      <c r="G122" s="66"/>
      <c r="H122" s="66">
        <f t="shared" si="6"/>
        <v>42000</v>
      </c>
    </row>
    <row r="123" spans="1:8" s="32" customFormat="1" ht="37.5" x14ac:dyDescent="0.2">
      <c r="A123" s="54" t="s">
        <v>66</v>
      </c>
      <c r="B123" s="54" t="s">
        <v>67</v>
      </c>
      <c r="C123" s="54" t="s">
        <v>68</v>
      </c>
      <c r="D123" s="55" t="s">
        <v>69</v>
      </c>
      <c r="E123" s="83"/>
      <c r="F123" s="56">
        <f>SUM(F124:F124)</f>
        <v>2511000</v>
      </c>
      <c r="G123" s="56">
        <f>SUM(G124:G124)</f>
        <v>0</v>
      </c>
      <c r="H123" s="56">
        <f t="shared" si="6"/>
        <v>2511000</v>
      </c>
    </row>
    <row r="124" spans="1:8" s="32" customFormat="1" ht="37.5" x14ac:dyDescent="0.2">
      <c r="A124" s="33"/>
      <c r="B124" s="33"/>
      <c r="C124" s="33"/>
      <c r="D124" s="37"/>
      <c r="E124" s="65" t="s">
        <v>196</v>
      </c>
      <c r="F124" s="66">
        <f>2511000</f>
        <v>2511000</v>
      </c>
      <c r="G124" s="66"/>
      <c r="H124" s="66">
        <f t="shared" si="6"/>
        <v>2511000</v>
      </c>
    </row>
    <row r="125" spans="1:8" s="32" customFormat="1" ht="37.5" x14ac:dyDescent="0.2">
      <c r="A125" s="54" t="s">
        <v>70</v>
      </c>
      <c r="B125" s="54" t="s">
        <v>71</v>
      </c>
      <c r="C125" s="54" t="s">
        <v>72</v>
      </c>
      <c r="D125" s="55" t="s">
        <v>73</v>
      </c>
      <c r="E125" s="83"/>
      <c r="F125" s="56">
        <f>SUM(F126:F126)</f>
        <v>0</v>
      </c>
      <c r="G125" s="56">
        <f>SUM(G126:G126)</f>
        <v>285848</v>
      </c>
      <c r="H125" s="56">
        <f t="shared" si="6"/>
        <v>285848</v>
      </c>
    </row>
    <row r="126" spans="1:8" s="32" customFormat="1" ht="37.5" x14ac:dyDescent="0.2">
      <c r="A126" s="61"/>
      <c r="B126" s="61"/>
      <c r="C126" s="61"/>
      <c r="D126" s="61"/>
      <c r="E126" s="65" t="s">
        <v>196</v>
      </c>
      <c r="F126" s="66"/>
      <c r="G126" s="66">
        <f>285848</f>
        <v>285848</v>
      </c>
      <c r="H126" s="66">
        <f t="shared" si="6"/>
        <v>285848</v>
      </c>
    </row>
    <row r="127" spans="1:8" s="32" customFormat="1" ht="37.5" x14ac:dyDescent="0.2">
      <c r="A127" s="84" t="s">
        <v>433</v>
      </c>
      <c r="B127" s="84" t="s">
        <v>434</v>
      </c>
      <c r="C127" s="84" t="s">
        <v>436</v>
      </c>
      <c r="D127" s="54" t="s">
        <v>435</v>
      </c>
      <c r="E127" s="83"/>
      <c r="F127" s="56">
        <f>SUM(F128:F128)</f>
        <v>138292</v>
      </c>
      <c r="G127" s="56">
        <f>SUM(G128:G128)</f>
        <v>0</v>
      </c>
      <c r="H127" s="56">
        <f t="shared" si="6"/>
        <v>138292</v>
      </c>
    </row>
    <row r="128" spans="1:8" s="32" customFormat="1" x14ac:dyDescent="0.2">
      <c r="A128" s="33"/>
      <c r="B128" s="33"/>
      <c r="C128" s="33"/>
      <c r="D128" s="37"/>
      <c r="E128" s="65" t="s">
        <v>454</v>
      </c>
      <c r="F128" s="66">
        <f>138292</f>
        <v>138292</v>
      </c>
      <c r="G128" s="66"/>
      <c r="H128" s="66">
        <f t="shared" si="6"/>
        <v>138292</v>
      </c>
    </row>
    <row r="129" spans="1:19" s="31" customFormat="1" ht="37.5" x14ac:dyDescent="0.2">
      <c r="A129" s="29">
        <v>1000000</v>
      </c>
      <c r="B129" s="33"/>
      <c r="C129" s="33"/>
      <c r="D129" s="33" t="s">
        <v>11</v>
      </c>
      <c r="E129" s="82"/>
      <c r="F129" s="30">
        <f>F131+F133+F135+F137</f>
        <v>140983</v>
      </c>
      <c r="G129" s="30">
        <f>G131+G133+G135+G137</f>
        <v>0</v>
      </c>
      <c r="H129" s="30">
        <f>F129+G129</f>
        <v>140983</v>
      </c>
    </row>
    <row r="130" spans="1:19" s="31" customFormat="1" ht="37.5" x14ac:dyDescent="0.2">
      <c r="A130" s="29">
        <v>1010000</v>
      </c>
      <c r="B130" s="33"/>
      <c r="C130" s="33"/>
      <c r="D130" s="58" t="s">
        <v>11</v>
      </c>
      <c r="E130" s="82"/>
      <c r="F130" s="30"/>
      <c r="G130" s="30"/>
      <c r="H130" s="30"/>
    </row>
    <row r="131" spans="1:19" s="31" customFormat="1" ht="37.5" x14ac:dyDescent="0.2">
      <c r="A131" s="42">
        <v>1011100</v>
      </c>
      <c r="B131" s="41" t="s">
        <v>13</v>
      </c>
      <c r="C131" s="41" t="s">
        <v>14</v>
      </c>
      <c r="D131" s="41" t="s">
        <v>257</v>
      </c>
      <c r="E131" s="8"/>
      <c r="F131" s="56">
        <f>SUM(F132:F132)</f>
        <v>24000</v>
      </c>
      <c r="G131" s="56">
        <f>SUM(G132:G132)</f>
        <v>0</v>
      </c>
      <c r="H131" s="56">
        <f t="shared" ref="H131:H142" si="7">F131+G131</f>
        <v>24000</v>
      </c>
    </row>
    <row r="132" spans="1:19" s="32" customFormat="1" ht="37.5" x14ac:dyDescent="0.2">
      <c r="A132" s="33"/>
      <c r="B132" s="33"/>
      <c r="C132" s="33"/>
      <c r="D132" s="37"/>
      <c r="E132" s="83" t="s">
        <v>276</v>
      </c>
      <c r="F132" s="66">
        <f>24000</f>
        <v>24000</v>
      </c>
      <c r="G132" s="66"/>
      <c r="H132" s="66">
        <f t="shared" si="7"/>
        <v>24000</v>
      </c>
    </row>
    <row r="133" spans="1:19" s="31" customFormat="1" x14ac:dyDescent="0.2">
      <c r="A133" s="42">
        <v>1014030</v>
      </c>
      <c r="B133" s="41" t="s">
        <v>264</v>
      </c>
      <c r="C133" s="41" t="s">
        <v>265</v>
      </c>
      <c r="D133" s="41" t="s">
        <v>266</v>
      </c>
      <c r="E133" s="8"/>
      <c r="F133" s="56">
        <f>SUM(F134:F134)</f>
        <v>9000</v>
      </c>
      <c r="G133" s="56">
        <f>SUM(G134:G134)</f>
        <v>0</v>
      </c>
      <c r="H133" s="56">
        <f t="shared" si="7"/>
        <v>9000</v>
      </c>
    </row>
    <row r="134" spans="1:19" s="32" customFormat="1" ht="37.5" x14ac:dyDescent="0.2">
      <c r="A134" s="61"/>
      <c r="B134" s="61"/>
      <c r="C134" s="61"/>
      <c r="D134" s="61"/>
      <c r="E134" s="83" t="s">
        <v>276</v>
      </c>
      <c r="F134" s="66">
        <f>9000</f>
        <v>9000</v>
      </c>
      <c r="G134" s="66"/>
      <c r="H134" s="66">
        <f t="shared" si="7"/>
        <v>9000</v>
      </c>
    </row>
    <row r="135" spans="1:19" s="31" customFormat="1" ht="56.25" x14ac:dyDescent="0.2">
      <c r="A135" s="42">
        <v>1014060</v>
      </c>
      <c r="B135" s="41" t="s">
        <v>15</v>
      </c>
      <c r="C135" s="41" t="s">
        <v>16</v>
      </c>
      <c r="D135" s="41" t="s">
        <v>17</v>
      </c>
      <c r="E135" s="8"/>
      <c r="F135" s="56">
        <f>SUM(F136:F136)</f>
        <v>12983</v>
      </c>
      <c r="G135" s="56">
        <f>SUM(G136:G136)</f>
        <v>0</v>
      </c>
      <c r="H135" s="56">
        <f t="shared" si="7"/>
        <v>12983</v>
      </c>
    </row>
    <row r="136" spans="1:19" s="32" customFormat="1" ht="37.5" x14ac:dyDescent="0.2">
      <c r="A136" s="33"/>
      <c r="B136" s="33"/>
      <c r="C136" s="33"/>
      <c r="D136" s="37"/>
      <c r="E136" s="83" t="s">
        <v>276</v>
      </c>
      <c r="F136" s="66">
        <f>12983</f>
        <v>12983</v>
      </c>
      <c r="G136" s="66"/>
      <c r="H136" s="66">
        <f t="shared" si="7"/>
        <v>12983</v>
      </c>
    </row>
    <row r="137" spans="1:19" s="31" customFormat="1" ht="37.5" x14ac:dyDescent="0.2">
      <c r="A137" s="42">
        <v>1014081</v>
      </c>
      <c r="B137" s="41" t="s">
        <v>220</v>
      </c>
      <c r="C137" s="41" t="s">
        <v>219</v>
      </c>
      <c r="D137" s="41" t="s">
        <v>218</v>
      </c>
      <c r="E137" s="8"/>
      <c r="F137" s="56">
        <f>SUM(F138:F138)</f>
        <v>95000</v>
      </c>
      <c r="G137" s="56">
        <f>SUM(G138:G138)</f>
        <v>0</v>
      </c>
      <c r="H137" s="56">
        <f t="shared" si="7"/>
        <v>95000</v>
      </c>
    </row>
    <row r="138" spans="1:19" s="32" customFormat="1" ht="37.5" x14ac:dyDescent="0.2">
      <c r="A138" s="33"/>
      <c r="B138" s="33"/>
      <c r="C138" s="33"/>
      <c r="D138" s="37"/>
      <c r="E138" s="83" t="s">
        <v>275</v>
      </c>
      <c r="F138" s="66">
        <f>95000</f>
        <v>95000</v>
      </c>
      <c r="G138" s="66"/>
      <c r="H138" s="66">
        <f t="shared" si="7"/>
        <v>95000</v>
      </c>
    </row>
    <row r="139" spans="1:19" s="53" customFormat="1" ht="37.5" x14ac:dyDescent="0.2">
      <c r="A139" s="33" t="s">
        <v>134</v>
      </c>
      <c r="B139" s="33"/>
      <c r="C139" s="33"/>
      <c r="D139" s="33" t="s">
        <v>135</v>
      </c>
      <c r="E139" s="37"/>
      <c r="F139" s="51">
        <f>F141</f>
        <v>0</v>
      </c>
      <c r="G139" s="51">
        <f>G141</f>
        <v>49990</v>
      </c>
      <c r="H139" s="51">
        <f t="shared" si="7"/>
        <v>49990</v>
      </c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</row>
    <row r="140" spans="1:19" s="53" customFormat="1" ht="37.5" x14ac:dyDescent="0.2">
      <c r="A140" s="33" t="s">
        <v>136</v>
      </c>
      <c r="B140" s="33"/>
      <c r="C140" s="33"/>
      <c r="D140" s="58" t="s">
        <v>135</v>
      </c>
      <c r="E140" s="37"/>
      <c r="F140" s="51"/>
      <c r="G140" s="51"/>
      <c r="H140" s="51">
        <f t="shared" si="7"/>
        <v>0</v>
      </c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</row>
    <row r="141" spans="1:19" s="87" customFormat="1" ht="37.5" x14ac:dyDescent="0.2">
      <c r="A141" s="85">
        <v>1115041</v>
      </c>
      <c r="B141" s="41" t="s">
        <v>115</v>
      </c>
      <c r="C141" s="41" t="s">
        <v>113</v>
      </c>
      <c r="D141" s="42" t="s">
        <v>114</v>
      </c>
      <c r="E141" s="57"/>
      <c r="F141" s="56">
        <f>SUM(F142:F142)</f>
        <v>0</v>
      </c>
      <c r="G141" s="56">
        <f>SUM(G142:G142)</f>
        <v>49990</v>
      </c>
      <c r="H141" s="56">
        <f t="shared" si="7"/>
        <v>49990</v>
      </c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</row>
    <row r="142" spans="1:19" ht="75" x14ac:dyDescent="0.2">
      <c r="A142" s="61"/>
      <c r="B142" s="62"/>
      <c r="C142" s="62"/>
      <c r="D142" s="63"/>
      <c r="E142" s="65" t="s">
        <v>238</v>
      </c>
      <c r="F142" s="66"/>
      <c r="G142" s="66">
        <f>49990</f>
        <v>49990</v>
      </c>
      <c r="H142" s="66">
        <f t="shared" si="7"/>
        <v>49990</v>
      </c>
    </row>
    <row r="143" spans="1:19" s="31" customFormat="1" ht="56.25" x14ac:dyDescent="0.2">
      <c r="A143" s="29">
        <v>1200000</v>
      </c>
      <c r="B143" s="33"/>
      <c r="C143" s="33"/>
      <c r="D143" s="33" t="s">
        <v>116</v>
      </c>
      <c r="E143" s="82"/>
      <c r="F143" s="30">
        <f>F145+F149+F159+F161</f>
        <v>10970620</v>
      </c>
      <c r="G143" s="30">
        <f>G145+G149+G159+G161</f>
        <v>3618527</v>
      </c>
      <c r="H143" s="30">
        <f>F143+G143</f>
        <v>14589147</v>
      </c>
    </row>
    <row r="144" spans="1:19" s="31" customFormat="1" ht="56.25" x14ac:dyDescent="0.2">
      <c r="A144" s="29">
        <v>1210000</v>
      </c>
      <c r="B144" s="33"/>
      <c r="C144" s="33"/>
      <c r="D144" s="58" t="s">
        <v>116</v>
      </c>
      <c r="E144" s="82"/>
      <c r="F144" s="30"/>
      <c r="G144" s="30"/>
      <c r="H144" s="30"/>
    </row>
    <row r="145" spans="1:8" s="31" customFormat="1" ht="37.5" x14ac:dyDescent="0.2">
      <c r="A145" s="41" t="s">
        <v>118</v>
      </c>
      <c r="B145" s="41" t="s">
        <v>119</v>
      </c>
      <c r="C145" s="41" t="s">
        <v>51</v>
      </c>
      <c r="D145" s="41" t="s">
        <v>120</v>
      </c>
      <c r="E145" s="38"/>
      <c r="F145" s="44">
        <f>SUM(F146:F148)</f>
        <v>344798</v>
      </c>
      <c r="G145" s="44">
        <f>SUM(G146:G148)</f>
        <v>0</v>
      </c>
      <c r="H145" s="44">
        <f t="shared" ref="H145:H170" si="8">F145+G145</f>
        <v>344798</v>
      </c>
    </row>
    <row r="146" spans="1:8" s="31" customFormat="1" x14ac:dyDescent="0.2">
      <c r="A146" s="41"/>
      <c r="B146" s="41"/>
      <c r="C146" s="41"/>
      <c r="D146" s="41"/>
      <c r="E146" s="65" t="s">
        <v>120</v>
      </c>
      <c r="F146" s="64">
        <f>200000</f>
        <v>200000</v>
      </c>
      <c r="G146" s="64"/>
      <c r="H146" s="66">
        <f t="shared" si="8"/>
        <v>200000</v>
      </c>
    </row>
    <row r="147" spans="1:8" s="32" customFormat="1" ht="37.5" x14ac:dyDescent="0.2">
      <c r="A147" s="41"/>
      <c r="B147" s="41"/>
      <c r="C147" s="41"/>
      <c r="D147" s="42"/>
      <c r="E147" s="83" t="s">
        <v>275</v>
      </c>
      <c r="F147" s="66">
        <f>8530+66268</f>
        <v>74798</v>
      </c>
      <c r="G147" s="66"/>
      <c r="H147" s="66">
        <f t="shared" si="8"/>
        <v>74798</v>
      </c>
    </row>
    <row r="148" spans="1:8" s="32" customFormat="1" ht="37.5" x14ac:dyDescent="0.2">
      <c r="A148" s="41"/>
      <c r="B148" s="41"/>
      <c r="C148" s="41"/>
      <c r="D148" s="42"/>
      <c r="E148" s="83" t="s">
        <v>276</v>
      </c>
      <c r="F148" s="66">
        <f>70000</f>
        <v>70000</v>
      </c>
      <c r="G148" s="66"/>
      <c r="H148" s="66">
        <f t="shared" si="8"/>
        <v>70000</v>
      </c>
    </row>
    <row r="149" spans="1:8" s="31" customFormat="1" x14ac:dyDescent="0.2">
      <c r="A149" s="41" t="s">
        <v>121</v>
      </c>
      <c r="B149" s="41" t="s">
        <v>28</v>
      </c>
      <c r="C149" s="41" t="s">
        <v>29</v>
      </c>
      <c r="D149" s="41" t="s">
        <v>21</v>
      </c>
      <c r="E149" s="38"/>
      <c r="F149" s="44">
        <f>SUM(F150:F158)</f>
        <v>3810481</v>
      </c>
      <c r="G149" s="44">
        <f>SUM(G150:G158)</f>
        <v>1920552</v>
      </c>
      <c r="H149" s="44">
        <f t="shared" si="8"/>
        <v>5731033</v>
      </c>
    </row>
    <row r="150" spans="1:8" s="31" customFormat="1" x14ac:dyDescent="0.2">
      <c r="A150" s="41"/>
      <c r="B150" s="41"/>
      <c r="C150" s="41"/>
      <c r="D150" s="41"/>
      <c r="E150" s="65" t="s">
        <v>198</v>
      </c>
      <c r="F150" s="64">
        <v>789447</v>
      </c>
      <c r="G150" s="64">
        <f>818942-21125</f>
        <v>797817</v>
      </c>
      <c r="H150" s="66">
        <f t="shared" si="8"/>
        <v>1587264</v>
      </c>
    </row>
    <row r="151" spans="1:8" s="31" customFormat="1" x14ac:dyDescent="0.2">
      <c r="A151" s="41"/>
      <c r="B151" s="41"/>
      <c r="C151" s="41"/>
      <c r="D151" s="41"/>
      <c r="E151" s="65" t="s">
        <v>291</v>
      </c>
      <c r="F151" s="64">
        <v>99432</v>
      </c>
      <c r="G151" s="64"/>
      <c r="H151" s="66">
        <f t="shared" si="8"/>
        <v>99432</v>
      </c>
    </row>
    <row r="152" spans="1:8" s="32" customFormat="1" ht="37.5" x14ac:dyDescent="0.2">
      <c r="A152" s="41"/>
      <c r="B152" s="41"/>
      <c r="C152" s="41"/>
      <c r="D152" s="42"/>
      <c r="E152" s="65" t="s">
        <v>292</v>
      </c>
      <c r="F152" s="66">
        <v>1608346</v>
      </c>
      <c r="G152" s="66">
        <f>940457</f>
        <v>940457</v>
      </c>
      <c r="H152" s="66">
        <f t="shared" si="8"/>
        <v>2548803</v>
      </c>
    </row>
    <row r="153" spans="1:8" s="32" customFormat="1" x14ac:dyDescent="0.2">
      <c r="A153" s="41"/>
      <c r="B153" s="41"/>
      <c r="C153" s="41"/>
      <c r="D153" s="42"/>
      <c r="E153" s="65" t="s">
        <v>293</v>
      </c>
      <c r="F153" s="66">
        <v>257272</v>
      </c>
      <c r="G153" s="66"/>
      <c r="H153" s="66">
        <f t="shared" si="8"/>
        <v>257272</v>
      </c>
    </row>
    <row r="154" spans="1:8" s="32" customFormat="1" ht="37.5" x14ac:dyDescent="0.2">
      <c r="A154" s="41"/>
      <c r="B154" s="41"/>
      <c r="C154" s="41"/>
      <c r="D154" s="42"/>
      <c r="E154" s="88" t="s">
        <v>294</v>
      </c>
      <c r="F154" s="66">
        <v>35211</v>
      </c>
      <c r="G154" s="66"/>
      <c r="H154" s="66">
        <f t="shared" si="8"/>
        <v>35211</v>
      </c>
    </row>
    <row r="155" spans="1:8" s="32" customFormat="1" x14ac:dyDescent="0.2">
      <c r="A155" s="41"/>
      <c r="B155" s="41"/>
      <c r="C155" s="41"/>
      <c r="D155" s="42"/>
      <c r="E155" s="65" t="s">
        <v>296</v>
      </c>
      <c r="F155" s="66">
        <v>97884</v>
      </c>
      <c r="G155" s="66"/>
      <c r="H155" s="66">
        <f t="shared" si="8"/>
        <v>97884</v>
      </c>
    </row>
    <row r="156" spans="1:8" s="32" customFormat="1" x14ac:dyDescent="0.2">
      <c r="A156" s="41"/>
      <c r="B156" s="41"/>
      <c r="C156" s="41"/>
      <c r="D156" s="42"/>
      <c r="E156" s="65" t="s">
        <v>300</v>
      </c>
      <c r="F156" s="66">
        <v>338648</v>
      </c>
      <c r="G156" s="66"/>
      <c r="H156" s="66">
        <f t="shared" si="8"/>
        <v>338648</v>
      </c>
    </row>
    <row r="157" spans="1:8" s="32" customFormat="1" ht="37.5" x14ac:dyDescent="0.2">
      <c r="A157" s="41"/>
      <c r="B157" s="41"/>
      <c r="C157" s="41"/>
      <c r="D157" s="42"/>
      <c r="E157" s="65" t="s">
        <v>302</v>
      </c>
      <c r="F157" s="66">
        <v>578841</v>
      </c>
      <c r="G157" s="66">
        <f>182278</f>
        <v>182278</v>
      </c>
      <c r="H157" s="66">
        <f t="shared" si="8"/>
        <v>761119</v>
      </c>
    </row>
    <row r="158" spans="1:8" s="32" customFormat="1" ht="37.5" x14ac:dyDescent="0.2">
      <c r="A158" s="41"/>
      <c r="B158" s="41"/>
      <c r="C158" s="41"/>
      <c r="D158" s="42"/>
      <c r="E158" s="83" t="s">
        <v>275</v>
      </c>
      <c r="F158" s="66">
        <v>5400</v>
      </c>
      <c r="G158" s="66"/>
      <c r="H158" s="66">
        <f t="shared" si="8"/>
        <v>5400</v>
      </c>
    </row>
    <row r="159" spans="1:8" s="31" customFormat="1" ht="37.5" x14ac:dyDescent="0.2">
      <c r="A159" s="41" t="s">
        <v>122</v>
      </c>
      <c r="B159" s="41" t="s">
        <v>25</v>
      </c>
      <c r="C159" s="41" t="s">
        <v>26</v>
      </c>
      <c r="D159" s="42" t="s">
        <v>22</v>
      </c>
      <c r="E159" s="8"/>
      <c r="F159" s="44">
        <f>SUM(F160:F160)</f>
        <v>1354438</v>
      </c>
      <c r="G159" s="44">
        <f>SUM(G160:G160)</f>
        <v>-2025</v>
      </c>
      <c r="H159" s="44">
        <f>F159+G159</f>
        <v>1352413</v>
      </c>
    </row>
    <row r="160" spans="1:8" s="32" customFormat="1" ht="37.5" x14ac:dyDescent="0.2">
      <c r="A160" s="61"/>
      <c r="B160" s="61"/>
      <c r="C160" s="61"/>
      <c r="D160" s="61"/>
      <c r="E160" s="8" t="s">
        <v>125</v>
      </c>
      <c r="F160" s="66">
        <v>1354438</v>
      </c>
      <c r="G160" s="66">
        <f>-2025</f>
        <v>-2025</v>
      </c>
      <c r="H160" s="66">
        <f>F160+G160</f>
        <v>1352413</v>
      </c>
    </row>
    <row r="161" spans="1:8" s="32" customFormat="1" ht="37.5" x14ac:dyDescent="0.2">
      <c r="A161" s="41" t="s">
        <v>123</v>
      </c>
      <c r="B161" s="41" t="s">
        <v>8</v>
      </c>
      <c r="C161" s="41" t="s">
        <v>9</v>
      </c>
      <c r="D161" s="89" t="s">
        <v>10</v>
      </c>
      <c r="E161" s="8"/>
      <c r="F161" s="56">
        <f>SUM(F162:F170)</f>
        <v>5460903</v>
      </c>
      <c r="G161" s="56">
        <f>SUM(G162:G170)</f>
        <v>1700000</v>
      </c>
      <c r="H161" s="44">
        <f>F161+G161</f>
        <v>7160903</v>
      </c>
    </row>
    <row r="162" spans="1:8" s="32" customFormat="1" ht="56.25" x14ac:dyDescent="0.2">
      <c r="A162" s="61"/>
      <c r="B162" s="61"/>
      <c r="C162" s="61"/>
      <c r="D162" s="61"/>
      <c r="E162" s="8" t="s">
        <v>126</v>
      </c>
      <c r="F162" s="66">
        <v>1200000</v>
      </c>
      <c r="G162" s="66"/>
      <c r="H162" s="66">
        <f t="shared" si="8"/>
        <v>1200000</v>
      </c>
    </row>
    <row r="163" spans="1:8" s="32" customFormat="1" ht="56.25" x14ac:dyDescent="0.2">
      <c r="A163" s="61"/>
      <c r="B163" s="61"/>
      <c r="C163" s="61"/>
      <c r="D163" s="61"/>
      <c r="E163" s="9" t="s">
        <v>535</v>
      </c>
      <c r="F163" s="66">
        <v>1200000</v>
      </c>
      <c r="G163" s="66"/>
      <c r="H163" s="66">
        <f t="shared" si="8"/>
        <v>1200000</v>
      </c>
    </row>
    <row r="164" spans="1:8" s="32" customFormat="1" ht="56.25" x14ac:dyDescent="0.2">
      <c r="A164" s="61"/>
      <c r="B164" s="61"/>
      <c r="C164" s="61"/>
      <c r="D164" s="61"/>
      <c r="E164" s="9" t="s">
        <v>129</v>
      </c>
      <c r="F164" s="66">
        <v>100000</v>
      </c>
      <c r="G164" s="66"/>
      <c r="H164" s="66">
        <f t="shared" si="8"/>
        <v>100000</v>
      </c>
    </row>
    <row r="165" spans="1:8" s="32" customFormat="1" ht="56.25" x14ac:dyDescent="0.2">
      <c r="A165" s="61"/>
      <c r="B165" s="61"/>
      <c r="C165" s="61"/>
      <c r="D165" s="61"/>
      <c r="E165" s="9" t="s">
        <v>128</v>
      </c>
      <c r="F165" s="66">
        <v>600000</v>
      </c>
      <c r="G165" s="66"/>
      <c r="H165" s="66">
        <f t="shared" si="8"/>
        <v>600000</v>
      </c>
    </row>
    <row r="166" spans="1:8" s="32" customFormat="1" ht="56.25" x14ac:dyDescent="0.2">
      <c r="A166" s="61"/>
      <c r="B166" s="61"/>
      <c r="C166" s="61"/>
      <c r="D166" s="61"/>
      <c r="E166" s="5" t="s">
        <v>131</v>
      </c>
      <c r="F166" s="66">
        <v>1000000</v>
      </c>
      <c r="G166" s="66">
        <f>1100000+300000</f>
        <v>1400000</v>
      </c>
      <c r="H166" s="66">
        <f t="shared" si="8"/>
        <v>2400000</v>
      </c>
    </row>
    <row r="167" spans="1:8" s="32" customFormat="1" ht="56.25" x14ac:dyDescent="0.2">
      <c r="A167" s="61"/>
      <c r="B167" s="61"/>
      <c r="C167" s="61"/>
      <c r="D167" s="61"/>
      <c r="E167" s="9" t="s">
        <v>239</v>
      </c>
      <c r="F167" s="66"/>
      <c r="G167" s="66">
        <f>100000</f>
        <v>100000</v>
      </c>
      <c r="H167" s="66">
        <f t="shared" si="8"/>
        <v>100000</v>
      </c>
    </row>
    <row r="168" spans="1:8" ht="37.5" x14ac:dyDescent="0.2">
      <c r="A168" s="61"/>
      <c r="B168" s="61"/>
      <c r="C168" s="61"/>
      <c r="D168" s="61"/>
      <c r="E168" s="9" t="s">
        <v>133</v>
      </c>
      <c r="F168" s="66">
        <v>11307</v>
      </c>
      <c r="G168" s="66"/>
      <c r="H168" s="66">
        <f t="shared" si="8"/>
        <v>11307</v>
      </c>
    </row>
    <row r="169" spans="1:8" ht="37.5" x14ac:dyDescent="0.2">
      <c r="A169" s="61"/>
      <c r="B169" s="61"/>
      <c r="C169" s="61"/>
      <c r="D169" s="61"/>
      <c r="E169" s="9" t="s">
        <v>130</v>
      </c>
      <c r="F169" s="66">
        <v>50000</v>
      </c>
      <c r="G169" s="66"/>
      <c r="H169" s="66">
        <f t="shared" si="8"/>
        <v>50000</v>
      </c>
    </row>
    <row r="170" spans="1:8" s="32" customFormat="1" ht="56.25" x14ac:dyDescent="0.2">
      <c r="A170" s="61"/>
      <c r="B170" s="61"/>
      <c r="C170" s="61"/>
      <c r="D170" s="61"/>
      <c r="E170" s="9" t="s">
        <v>132</v>
      </c>
      <c r="F170" s="66">
        <v>1299596</v>
      </c>
      <c r="G170" s="66">
        <f>200000</f>
        <v>200000</v>
      </c>
      <c r="H170" s="66">
        <f t="shared" si="8"/>
        <v>1499596</v>
      </c>
    </row>
    <row r="171" spans="1:8" s="31" customFormat="1" ht="37.5" x14ac:dyDescent="0.2">
      <c r="A171" s="29">
        <v>1500000</v>
      </c>
      <c r="B171" s="33"/>
      <c r="C171" s="33"/>
      <c r="D171" s="29" t="s">
        <v>82</v>
      </c>
      <c r="E171" s="82"/>
      <c r="F171" s="30">
        <f>F173+F190+F198+F202+F205+F207+F200</f>
        <v>248978125</v>
      </c>
      <c r="G171" s="30">
        <f>G173+G190+G198+G202+G205+G207+G200</f>
        <v>-7178287</v>
      </c>
      <c r="H171" s="30">
        <f>F171+G171</f>
        <v>241799838</v>
      </c>
    </row>
    <row r="172" spans="1:8" s="31" customFormat="1" ht="37.5" x14ac:dyDescent="0.2">
      <c r="A172" s="29">
        <v>1510000</v>
      </c>
      <c r="B172" s="33"/>
      <c r="C172" s="33"/>
      <c r="D172" s="37" t="s">
        <v>82</v>
      </c>
      <c r="E172" s="82"/>
      <c r="F172" s="30"/>
      <c r="G172" s="30"/>
      <c r="H172" s="30"/>
    </row>
    <row r="173" spans="1:8" s="31" customFormat="1" ht="37.5" x14ac:dyDescent="0.2">
      <c r="A173" s="41" t="s">
        <v>76</v>
      </c>
      <c r="B173" s="41" t="s">
        <v>25</v>
      </c>
      <c r="C173" s="41" t="s">
        <v>26</v>
      </c>
      <c r="D173" s="42" t="s">
        <v>22</v>
      </c>
      <c r="E173" s="38"/>
      <c r="F173" s="44">
        <f>SUM(F174:F189)</f>
        <v>22926716</v>
      </c>
      <c r="G173" s="44">
        <f>SUM(G174:G189)</f>
        <v>-6988587</v>
      </c>
      <c r="H173" s="44">
        <f t="shared" ref="H173:H208" si="9">F173+G173</f>
        <v>15938129</v>
      </c>
    </row>
    <row r="174" spans="1:8" s="32" customFormat="1" ht="75" x14ac:dyDescent="0.2">
      <c r="A174" s="41"/>
      <c r="B174" s="41"/>
      <c r="C174" s="41"/>
      <c r="D174" s="42"/>
      <c r="E174" s="7" t="s">
        <v>86</v>
      </c>
      <c r="F174" s="66">
        <v>1550742</v>
      </c>
      <c r="G174" s="66">
        <f>-1257568-322</f>
        <v>-1257890</v>
      </c>
      <c r="H174" s="66">
        <f t="shared" si="9"/>
        <v>292852</v>
      </c>
    </row>
    <row r="175" spans="1:8" s="32" customFormat="1" ht="75" x14ac:dyDescent="0.2">
      <c r="A175" s="41"/>
      <c r="B175" s="41"/>
      <c r="C175" s="41"/>
      <c r="D175" s="42"/>
      <c r="E175" s="7" t="s">
        <v>88</v>
      </c>
      <c r="F175" s="66">
        <v>3409246</v>
      </c>
      <c r="G175" s="66">
        <f>-2401899-788701</f>
        <v>-3190600</v>
      </c>
      <c r="H175" s="66">
        <f t="shared" si="9"/>
        <v>218646</v>
      </c>
    </row>
    <row r="176" spans="1:8" s="32" customFormat="1" ht="37.5" x14ac:dyDescent="0.2">
      <c r="A176" s="41"/>
      <c r="B176" s="41"/>
      <c r="C176" s="41"/>
      <c r="D176" s="42"/>
      <c r="E176" s="7" t="s">
        <v>351</v>
      </c>
      <c r="F176" s="66">
        <v>2743302</v>
      </c>
      <c r="G176" s="66">
        <f>472280-866</f>
        <v>471414</v>
      </c>
      <c r="H176" s="66">
        <f t="shared" si="9"/>
        <v>3214716</v>
      </c>
    </row>
    <row r="177" spans="1:8" s="32" customFormat="1" x14ac:dyDescent="0.2">
      <c r="A177" s="41"/>
      <c r="B177" s="41"/>
      <c r="C177" s="41"/>
      <c r="D177" s="42"/>
      <c r="E177" s="28" t="s">
        <v>249</v>
      </c>
      <c r="F177" s="66"/>
      <c r="G177" s="66"/>
      <c r="H177" s="66"/>
    </row>
    <row r="178" spans="1:8" s="32" customFormat="1" ht="37.5" x14ac:dyDescent="0.2">
      <c r="A178" s="41"/>
      <c r="B178" s="41"/>
      <c r="C178" s="41"/>
      <c r="D178" s="42"/>
      <c r="E178" s="7" t="s">
        <v>206</v>
      </c>
      <c r="F178" s="66">
        <v>5830000</v>
      </c>
      <c r="G178" s="66">
        <f>-4712996-398</f>
        <v>-4713394</v>
      </c>
      <c r="H178" s="66">
        <f>F178+G178</f>
        <v>1116606</v>
      </c>
    </row>
    <row r="179" spans="1:8" s="32" customFormat="1" ht="37.5" x14ac:dyDescent="0.2">
      <c r="A179" s="41"/>
      <c r="B179" s="41"/>
      <c r="C179" s="41"/>
      <c r="D179" s="42"/>
      <c r="E179" s="7" t="s">
        <v>413</v>
      </c>
      <c r="F179" s="66">
        <v>1689</v>
      </c>
      <c r="G179" s="66">
        <f>-1689</f>
        <v>-1689</v>
      </c>
      <c r="H179" s="66">
        <f>F179+G179</f>
        <v>0</v>
      </c>
    </row>
    <row r="180" spans="1:8" s="32" customFormat="1" ht="37.5" x14ac:dyDescent="0.2">
      <c r="A180" s="41"/>
      <c r="B180" s="41"/>
      <c r="C180" s="41"/>
      <c r="D180" s="42"/>
      <c r="E180" s="4" t="s">
        <v>307</v>
      </c>
      <c r="F180" s="66">
        <v>2442244</v>
      </c>
      <c r="G180" s="66">
        <f>-22515-9962</f>
        <v>-32477</v>
      </c>
      <c r="H180" s="66">
        <f>F180+G180</f>
        <v>2409767</v>
      </c>
    </row>
    <row r="181" spans="1:8" s="32" customFormat="1" ht="93.75" x14ac:dyDescent="0.2">
      <c r="A181" s="41"/>
      <c r="B181" s="41"/>
      <c r="C181" s="41"/>
      <c r="D181" s="42"/>
      <c r="E181" s="7" t="s">
        <v>311</v>
      </c>
      <c r="F181" s="66"/>
      <c r="G181" s="66">
        <f>169709</f>
        <v>169709</v>
      </c>
      <c r="H181" s="66">
        <f>F181+G181</f>
        <v>169709</v>
      </c>
    </row>
    <row r="182" spans="1:8" s="32" customFormat="1" ht="37.5" x14ac:dyDescent="0.2">
      <c r="A182" s="41"/>
      <c r="B182" s="41"/>
      <c r="C182" s="41"/>
      <c r="D182" s="42"/>
      <c r="E182" s="7" t="s">
        <v>419</v>
      </c>
      <c r="F182" s="66">
        <v>2000000</v>
      </c>
      <c r="G182" s="66">
        <f>-1936524-63476</f>
        <v>-2000000</v>
      </c>
      <c r="H182" s="66">
        <f>F182+G182</f>
        <v>0</v>
      </c>
    </row>
    <row r="183" spans="1:8" s="32" customFormat="1" ht="37.5" x14ac:dyDescent="0.2">
      <c r="A183" s="41"/>
      <c r="B183" s="41"/>
      <c r="C183" s="41"/>
      <c r="D183" s="42"/>
      <c r="E183" s="28" t="s">
        <v>233</v>
      </c>
      <c r="F183" s="66"/>
      <c r="G183" s="66"/>
      <c r="H183" s="66"/>
    </row>
    <row r="184" spans="1:8" s="32" customFormat="1" x14ac:dyDescent="0.2">
      <c r="A184" s="41"/>
      <c r="B184" s="41"/>
      <c r="C184" s="41"/>
      <c r="D184" s="42"/>
      <c r="E184" s="7" t="s">
        <v>352</v>
      </c>
      <c r="F184" s="66">
        <v>62114</v>
      </c>
      <c r="G184" s="66"/>
      <c r="H184" s="66">
        <f>F184+G184</f>
        <v>62114</v>
      </c>
    </row>
    <row r="185" spans="1:8" s="32" customFormat="1" x14ac:dyDescent="0.2">
      <c r="A185" s="41"/>
      <c r="B185" s="41"/>
      <c r="C185" s="41"/>
      <c r="D185" s="42"/>
      <c r="E185" s="7" t="s">
        <v>417</v>
      </c>
      <c r="F185" s="66"/>
      <c r="G185" s="66">
        <f>2383394</f>
        <v>2383394</v>
      </c>
      <c r="H185" s="66">
        <f>F185+G185</f>
        <v>2383394</v>
      </c>
    </row>
    <row r="186" spans="1:8" s="32" customFormat="1" x14ac:dyDescent="0.2">
      <c r="A186" s="41"/>
      <c r="B186" s="41"/>
      <c r="C186" s="41"/>
      <c r="D186" s="42"/>
      <c r="E186" s="28" t="s">
        <v>250</v>
      </c>
      <c r="F186" s="66"/>
      <c r="G186" s="66"/>
      <c r="H186" s="66"/>
    </row>
    <row r="187" spans="1:8" s="32" customFormat="1" ht="37.5" x14ac:dyDescent="0.2">
      <c r="A187" s="41"/>
      <c r="B187" s="41"/>
      <c r="C187" s="41"/>
      <c r="D187" s="42"/>
      <c r="E187" s="65" t="s">
        <v>292</v>
      </c>
      <c r="F187" s="66">
        <v>3874195</v>
      </c>
      <c r="G187" s="66">
        <f>541892+241054</f>
        <v>782946</v>
      </c>
      <c r="H187" s="66">
        <f t="shared" si="9"/>
        <v>4657141</v>
      </c>
    </row>
    <row r="188" spans="1:8" s="32" customFormat="1" x14ac:dyDescent="0.2">
      <c r="A188" s="41"/>
      <c r="B188" s="41"/>
      <c r="C188" s="41"/>
      <c r="D188" s="42"/>
      <c r="E188" s="65" t="s">
        <v>512</v>
      </c>
      <c r="F188" s="66"/>
      <c r="G188" s="66">
        <f>400000</f>
        <v>400000</v>
      </c>
      <c r="H188" s="66">
        <f t="shared" si="9"/>
        <v>400000</v>
      </c>
    </row>
    <row r="189" spans="1:8" s="32" customFormat="1" ht="37.5" x14ac:dyDescent="0.2">
      <c r="A189" s="41"/>
      <c r="B189" s="41"/>
      <c r="C189" s="41"/>
      <c r="D189" s="42"/>
      <c r="E189" s="7" t="s">
        <v>316</v>
      </c>
      <c r="F189" s="66">
        <v>1013184</v>
      </c>
      <c r="G189" s="66"/>
      <c r="H189" s="66">
        <f t="shared" si="9"/>
        <v>1013184</v>
      </c>
    </row>
    <row r="190" spans="1:8" s="31" customFormat="1" x14ac:dyDescent="0.2">
      <c r="A190" s="41" t="s">
        <v>77</v>
      </c>
      <c r="B190" s="41" t="s">
        <v>98</v>
      </c>
      <c r="C190" s="41" t="s">
        <v>26</v>
      </c>
      <c r="D190" s="42" t="s">
        <v>89</v>
      </c>
      <c r="E190" s="67"/>
      <c r="F190" s="44">
        <f>SUM(F191:F197)</f>
        <v>1162673</v>
      </c>
      <c r="G190" s="44">
        <f>SUM(G191:G197)</f>
        <v>117038</v>
      </c>
      <c r="H190" s="44">
        <f t="shared" si="9"/>
        <v>1279711</v>
      </c>
    </row>
    <row r="191" spans="1:8" s="31" customFormat="1" x14ac:dyDescent="0.2">
      <c r="A191" s="41"/>
      <c r="B191" s="41"/>
      <c r="C191" s="41"/>
      <c r="D191" s="42"/>
      <c r="E191" s="28" t="s">
        <v>248</v>
      </c>
      <c r="F191" s="44"/>
      <c r="G191" s="44"/>
      <c r="H191" s="44"/>
    </row>
    <row r="192" spans="1:8" s="32" customFormat="1" ht="37.5" x14ac:dyDescent="0.2">
      <c r="A192" s="41"/>
      <c r="B192" s="41"/>
      <c r="C192" s="41"/>
      <c r="D192" s="42"/>
      <c r="E192" s="7" t="s">
        <v>332</v>
      </c>
      <c r="F192" s="66">
        <f>49000</f>
        <v>49000</v>
      </c>
      <c r="G192" s="66"/>
      <c r="H192" s="66">
        <f t="shared" si="9"/>
        <v>49000</v>
      </c>
    </row>
    <row r="193" spans="1:8" s="32" customFormat="1" x14ac:dyDescent="0.2">
      <c r="A193" s="41"/>
      <c r="B193" s="41"/>
      <c r="C193" s="41"/>
      <c r="D193" s="42"/>
      <c r="E193" s="28" t="s">
        <v>251</v>
      </c>
      <c r="F193" s="66"/>
      <c r="G193" s="66"/>
      <c r="H193" s="66"/>
    </row>
    <row r="194" spans="1:8" s="32" customFormat="1" ht="56.25" x14ac:dyDescent="0.2">
      <c r="A194" s="41"/>
      <c r="B194" s="41"/>
      <c r="C194" s="41"/>
      <c r="D194" s="42"/>
      <c r="E194" s="7" t="s">
        <v>325</v>
      </c>
      <c r="F194" s="66">
        <f>22060</f>
        <v>22060</v>
      </c>
      <c r="G194" s="66"/>
      <c r="H194" s="66">
        <f t="shared" si="9"/>
        <v>22060</v>
      </c>
    </row>
    <row r="195" spans="1:8" s="32" customFormat="1" x14ac:dyDescent="0.2">
      <c r="A195" s="41"/>
      <c r="B195" s="41"/>
      <c r="C195" s="41"/>
      <c r="D195" s="42"/>
      <c r="E195" s="90" t="s">
        <v>247</v>
      </c>
      <c r="F195" s="66"/>
      <c r="G195" s="66"/>
      <c r="H195" s="66">
        <f t="shared" si="9"/>
        <v>0</v>
      </c>
    </row>
    <row r="196" spans="1:8" s="32" customFormat="1" x14ac:dyDescent="0.2">
      <c r="A196" s="41"/>
      <c r="B196" s="41"/>
      <c r="C196" s="41"/>
      <c r="D196" s="42"/>
      <c r="E196" s="4" t="s">
        <v>91</v>
      </c>
      <c r="F196" s="66">
        <v>1091613</v>
      </c>
      <c r="G196" s="66"/>
      <c r="H196" s="66">
        <f t="shared" si="9"/>
        <v>1091613</v>
      </c>
    </row>
    <row r="197" spans="1:8" s="32" customFormat="1" ht="37.5" x14ac:dyDescent="0.2">
      <c r="A197" s="41"/>
      <c r="B197" s="41"/>
      <c r="C197" s="41"/>
      <c r="D197" s="42"/>
      <c r="E197" s="7" t="s">
        <v>306</v>
      </c>
      <c r="F197" s="66"/>
      <c r="G197" s="66">
        <f>117038</f>
        <v>117038</v>
      </c>
      <c r="H197" s="66">
        <f t="shared" si="9"/>
        <v>117038</v>
      </c>
    </row>
    <row r="198" spans="1:8" x14ac:dyDescent="0.2">
      <c r="A198" s="41" t="s">
        <v>201</v>
      </c>
      <c r="B198" s="41" t="s">
        <v>202</v>
      </c>
      <c r="C198" s="41" t="s">
        <v>26</v>
      </c>
      <c r="D198" s="42" t="s">
        <v>203</v>
      </c>
      <c r="E198" s="38"/>
      <c r="F198" s="56">
        <f>SUM(F199)</f>
        <v>183433</v>
      </c>
      <c r="G198" s="56">
        <f>SUM(G199)</f>
        <v>0</v>
      </c>
      <c r="H198" s="56">
        <f t="shared" si="9"/>
        <v>183433</v>
      </c>
    </row>
    <row r="199" spans="1:8" ht="56.25" x14ac:dyDescent="0.2">
      <c r="A199" s="41"/>
      <c r="B199" s="41"/>
      <c r="C199" s="74"/>
      <c r="D199" s="74"/>
      <c r="E199" s="91" t="s">
        <v>455</v>
      </c>
      <c r="F199" s="66">
        <f>183433</f>
        <v>183433</v>
      </c>
      <c r="G199" s="66"/>
      <c r="H199" s="66">
        <f t="shared" si="9"/>
        <v>183433</v>
      </c>
    </row>
    <row r="200" spans="1:8" x14ac:dyDescent="0.2">
      <c r="A200" s="41" t="s">
        <v>78</v>
      </c>
      <c r="B200" s="41" t="s">
        <v>99</v>
      </c>
      <c r="C200" s="41" t="s">
        <v>26</v>
      </c>
      <c r="D200" s="42" t="s">
        <v>92</v>
      </c>
      <c r="E200" s="28"/>
      <c r="F200" s="44">
        <f>SUM(F201:F201)</f>
        <v>0</v>
      </c>
      <c r="G200" s="44">
        <f>SUM(G201:G201)</f>
        <v>734492</v>
      </c>
      <c r="H200" s="44">
        <f t="shared" si="9"/>
        <v>734492</v>
      </c>
    </row>
    <row r="201" spans="1:8" ht="37.5" x14ac:dyDescent="0.2">
      <c r="A201" s="41"/>
      <c r="B201" s="61"/>
      <c r="C201" s="61"/>
      <c r="D201" s="42"/>
      <c r="E201" s="70" t="s">
        <v>430</v>
      </c>
      <c r="F201" s="66"/>
      <c r="G201" s="66">
        <f>734492</f>
        <v>734492</v>
      </c>
      <c r="H201" s="66">
        <f t="shared" ref="H201" si="10">F201+G201</f>
        <v>734492</v>
      </c>
    </row>
    <row r="202" spans="1:8" s="31" customFormat="1" ht="37.5" x14ac:dyDescent="0.2">
      <c r="A202" s="41" t="s">
        <v>80</v>
      </c>
      <c r="B202" s="41" t="s">
        <v>55</v>
      </c>
      <c r="C202" s="41" t="s">
        <v>26</v>
      </c>
      <c r="D202" s="42" t="s">
        <v>230</v>
      </c>
      <c r="E202" s="67"/>
      <c r="F202" s="44">
        <f>SUM(F203:F204)</f>
        <v>219305303</v>
      </c>
      <c r="G202" s="44">
        <f>SUM(G203:G204)</f>
        <v>100000</v>
      </c>
      <c r="H202" s="44">
        <f t="shared" si="9"/>
        <v>219405303</v>
      </c>
    </row>
    <row r="203" spans="1:8" s="32" customFormat="1" ht="37.5" x14ac:dyDescent="0.2">
      <c r="A203" s="41"/>
      <c r="B203" s="41"/>
      <c r="C203" s="41"/>
      <c r="D203" s="42"/>
      <c r="E203" s="92" t="s">
        <v>187</v>
      </c>
      <c r="F203" s="76">
        <v>219033622</v>
      </c>
      <c r="G203" s="76"/>
      <c r="H203" s="76">
        <f t="shared" si="9"/>
        <v>219033622</v>
      </c>
    </row>
    <row r="204" spans="1:8" s="32" customFormat="1" ht="37.5" x14ac:dyDescent="0.2">
      <c r="A204" s="41"/>
      <c r="B204" s="41"/>
      <c r="C204" s="41"/>
      <c r="D204" s="42"/>
      <c r="E204" s="92" t="s">
        <v>215</v>
      </c>
      <c r="F204" s="76">
        <v>271681</v>
      </c>
      <c r="G204" s="76">
        <f>100000</f>
        <v>100000</v>
      </c>
      <c r="H204" s="76">
        <f t="shared" si="9"/>
        <v>371681</v>
      </c>
    </row>
    <row r="205" spans="1:8" ht="37.5" x14ac:dyDescent="0.2">
      <c r="A205" s="41" t="s">
        <v>81</v>
      </c>
      <c r="B205" s="41" t="s">
        <v>57</v>
      </c>
      <c r="C205" s="41" t="s">
        <v>26</v>
      </c>
      <c r="D205" s="42" t="s">
        <v>58</v>
      </c>
      <c r="E205" s="38"/>
      <c r="F205" s="56">
        <f>SUM(F206)</f>
        <v>5000000</v>
      </c>
      <c r="G205" s="56">
        <f>SUM(G206)</f>
        <v>-1841230</v>
      </c>
      <c r="H205" s="56">
        <f t="shared" si="9"/>
        <v>3158770</v>
      </c>
    </row>
    <row r="206" spans="1:8" ht="37.5" x14ac:dyDescent="0.2">
      <c r="A206" s="41"/>
      <c r="B206" s="41"/>
      <c r="C206" s="74"/>
      <c r="D206" s="74"/>
      <c r="E206" s="7" t="s">
        <v>331</v>
      </c>
      <c r="F206" s="66">
        <f>5000000</f>
        <v>5000000</v>
      </c>
      <c r="G206" s="66">
        <f>-1100000-741230</f>
        <v>-1841230</v>
      </c>
      <c r="H206" s="66">
        <f t="shared" si="9"/>
        <v>3158770</v>
      </c>
    </row>
    <row r="207" spans="1:8" ht="37.5" x14ac:dyDescent="0.2">
      <c r="A207" s="41" t="s">
        <v>101</v>
      </c>
      <c r="B207" s="41" t="s">
        <v>102</v>
      </c>
      <c r="C207" s="41" t="s">
        <v>9</v>
      </c>
      <c r="D207" s="42" t="s">
        <v>103</v>
      </c>
      <c r="E207" s="38"/>
      <c r="F207" s="56">
        <f>SUM(F208)</f>
        <v>400000</v>
      </c>
      <c r="G207" s="56">
        <f>SUM(G208)</f>
        <v>700000</v>
      </c>
      <c r="H207" s="56">
        <f t="shared" si="9"/>
        <v>1100000</v>
      </c>
    </row>
    <row r="208" spans="1:8" x14ac:dyDescent="0.2">
      <c r="A208" s="41"/>
      <c r="B208" s="41"/>
      <c r="C208" s="74"/>
      <c r="D208" s="74"/>
      <c r="E208" s="34" t="s">
        <v>104</v>
      </c>
      <c r="F208" s="66">
        <v>400000</v>
      </c>
      <c r="G208" s="66">
        <f>300000+400000</f>
        <v>700000</v>
      </c>
      <c r="H208" s="66">
        <f t="shared" si="9"/>
        <v>1100000</v>
      </c>
    </row>
    <row r="209" spans="1:16" s="32" customFormat="1" ht="37.5" x14ac:dyDescent="0.2">
      <c r="A209" s="33" t="s">
        <v>1</v>
      </c>
      <c r="B209" s="33"/>
      <c r="C209" s="33"/>
      <c r="D209" s="33" t="s">
        <v>2</v>
      </c>
      <c r="E209" s="92"/>
      <c r="F209" s="30">
        <f>F211+F215+F218+F213</f>
        <v>386432</v>
      </c>
      <c r="G209" s="30">
        <f>G211+G215+G218+G213</f>
        <v>247500</v>
      </c>
      <c r="H209" s="30">
        <f>F209+G209</f>
        <v>633932</v>
      </c>
    </row>
    <row r="210" spans="1:16" s="32" customFormat="1" ht="37.5" x14ac:dyDescent="0.2">
      <c r="A210" s="33" t="s">
        <v>3</v>
      </c>
      <c r="B210" s="33"/>
      <c r="C210" s="33"/>
      <c r="D210" s="58" t="s">
        <v>2</v>
      </c>
      <c r="E210" s="92"/>
      <c r="F210" s="76"/>
      <c r="G210" s="76"/>
      <c r="H210" s="76"/>
    </row>
    <row r="211" spans="1:16" s="32" customFormat="1" ht="56.25" x14ac:dyDescent="0.2">
      <c r="A211" s="41" t="s">
        <v>54</v>
      </c>
      <c r="B211" s="54" t="s">
        <v>4</v>
      </c>
      <c r="C211" s="54" t="s">
        <v>5</v>
      </c>
      <c r="D211" s="55" t="s">
        <v>6</v>
      </c>
      <c r="E211" s="83"/>
      <c r="F211" s="44">
        <f>SUM(F212:F212)</f>
        <v>246429</v>
      </c>
      <c r="G211" s="44">
        <f>SUM(G212:G212)</f>
        <v>0</v>
      </c>
      <c r="H211" s="44">
        <f>F211+G211</f>
        <v>246429</v>
      </c>
    </row>
    <row r="212" spans="1:16" s="32" customFormat="1" x14ac:dyDescent="0.2">
      <c r="A212" s="61"/>
      <c r="B212" s="61"/>
      <c r="C212" s="61"/>
      <c r="D212" s="61"/>
      <c r="E212" s="8" t="s">
        <v>41</v>
      </c>
      <c r="F212" s="76">
        <f>220739+25690</f>
        <v>246429</v>
      </c>
      <c r="G212" s="76"/>
      <c r="H212" s="76">
        <f>F212+G212</f>
        <v>246429</v>
      </c>
    </row>
    <row r="213" spans="1:16" ht="37.5" x14ac:dyDescent="0.2">
      <c r="A213" s="41" t="s">
        <v>482</v>
      </c>
      <c r="B213" s="41" t="s">
        <v>55</v>
      </c>
      <c r="C213" s="41" t="s">
        <v>26</v>
      </c>
      <c r="D213" s="42" t="s">
        <v>230</v>
      </c>
      <c r="E213" s="8"/>
      <c r="F213" s="66">
        <f>F214</f>
        <v>0</v>
      </c>
      <c r="G213" s="56">
        <f>G214</f>
        <v>251000</v>
      </c>
      <c r="H213" s="56">
        <f t="shared" ref="H213:H214" si="11">F213+G213</f>
        <v>251000</v>
      </c>
    </row>
    <row r="214" spans="1:16" x14ac:dyDescent="0.2">
      <c r="A214" s="61"/>
      <c r="B214" s="61"/>
      <c r="C214" s="61"/>
      <c r="D214" s="61"/>
      <c r="E214" s="3" t="s">
        <v>483</v>
      </c>
      <c r="F214" s="66"/>
      <c r="G214" s="66">
        <f>251000</f>
        <v>251000</v>
      </c>
      <c r="H214" s="66">
        <f t="shared" si="11"/>
        <v>251000</v>
      </c>
    </row>
    <row r="215" spans="1:16" s="32" customFormat="1" ht="37.5" x14ac:dyDescent="0.2">
      <c r="A215" s="41" t="s">
        <v>56</v>
      </c>
      <c r="B215" s="41" t="s">
        <v>57</v>
      </c>
      <c r="C215" s="41" t="s">
        <v>26</v>
      </c>
      <c r="D215" s="42" t="s">
        <v>58</v>
      </c>
      <c r="E215" s="8"/>
      <c r="F215" s="68">
        <f>SUM(F216:F217)</f>
        <v>121873</v>
      </c>
      <c r="G215" s="68">
        <f>SUM(G216:G217)</f>
        <v>-3500</v>
      </c>
      <c r="H215" s="68">
        <f>F215+G215</f>
        <v>118373</v>
      </c>
    </row>
    <row r="216" spans="1:16" s="32" customFormat="1" ht="37.5" x14ac:dyDescent="0.2">
      <c r="A216" s="41"/>
      <c r="B216" s="41"/>
      <c r="C216" s="41"/>
      <c r="D216" s="42"/>
      <c r="E216" s="65" t="s">
        <v>176</v>
      </c>
      <c r="F216" s="66">
        <f>18093+25075</f>
        <v>43168</v>
      </c>
      <c r="G216" s="66">
        <f>-3500</f>
        <v>-3500</v>
      </c>
      <c r="H216" s="66">
        <f t="shared" ref="H216" si="12">F216+G216</f>
        <v>39668</v>
      </c>
    </row>
    <row r="217" spans="1:16" s="32" customFormat="1" ht="37.5" x14ac:dyDescent="0.2">
      <c r="A217" s="61"/>
      <c r="B217" s="61"/>
      <c r="C217" s="61"/>
      <c r="D217" s="61"/>
      <c r="E217" s="83" t="s">
        <v>275</v>
      </c>
      <c r="F217" s="76">
        <f>78705</f>
        <v>78705</v>
      </c>
      <c r="G217" s="76"/>
      <c r="H217" s="66">
        <f>F217+G217</f>
        <v>78705</v>
      </c>
    </row>
    <row r="218" spans="1:16" s="32" customFormat="1" ht="37.5" x14ac:dyDescent="0.2">
      <c r="A218" s="41" t="s">
        <v>7</v>
      </c>
      <c r="B218" s="41" t="s">
        <v>8</v>
      </c>
      <c r="C218" s="41" t="s">
        <v>9</v>
      </c>
      <c r="D218" s="89" t="s">
        <v>10</v>
      </c>
      <c r="E218" s="83"/>
      <c r="F218" s="76">
        <f>F219</f>
        <v>18130</v>
      </c>
      <c r="G218" s="76">
        <f>G219</f>
        <v>0</v>
      </c>
      <c r="H218" s="66">
        <f t="shared" ref="H218:H219" si="13">F218+G218</f>
        <v>18130</v>
      </c>
    </row>
    <row r="219" spans="1:16" s="32" customFormat="1" ht="56.25" x14ac:dyDescent="0.2">
      <c r="A219" s="61"/>
      <c r="B219" s="61"/>
      <c r="C219" s="61"/>
      <c r="D219" s="61"/>
      <c r="E219" s="8" t="s">
        <v>235</v>
      </c>
      <c r="F219" s="76">
        <v>18130</v>
      </c>
      <c r="G219" s="76"/>
      <c r="H219" s="66">
        <f t="shared" si="13"/>
        <v>18130</v>
      </c>
    </row>
    <row r="220" spans="1:16" s="32" customFormat="1" x14ac:dyDescent="0.2">
      <c r="A220" s="33" t="s">
        <v>18</v>
      </c>
      <c r="B220" s="47"/>
      <c r="C220" s="47"/>
      <c r="D220" s="47" t="s">
        <v>19</v>
      </c>
      <c r="E220" s="8"/>
      <c r="F220" s="30">
        <f>F222+F228+F226</f>
        <v>1521480</v>
      </c>
      <c r="G220" s="30">
        <f>G222+G228+G226</f>
        <v>2016180</v>
      </c>
      <c r="H220" s="30">
        <f>F220+G220</f>
        <v>3537660</v>
      </c>
      <c r="I220" s="31"/>
      <c r="J220" s="31"/>
      <c r="K220" s="31"/>
      <c r="L220" s="31"/>
      <c r="M220" s="31"/>
      <c r="N220" s="31"/>
      <c r="O220" s="31"/>
      <c r="P220" s="31"/>
    </row>
    <row r="221" spans="1:16" s="32" customFormat="1" x14ac:dyDescent="0.2">
      <c r="A221" s="33" t="s">
        <v>20</v>
      </c>
      <c r="B221" s="47"/>
      <c r="C221" s="47"/>
      <c r="D221" s="50" t="s">
        <v>19</v>
      </c>
      <c r="E221" s="8"/>
      <c r="F221" s="64"/>
      <c r="G221" s="64"/>
      <c r="H221" s="64"/>
      <c r="I221" s="31"/>
      <c r="J221" s="31"/>
      <c r="K221" s="31"/>
      <c r="L221" s="31"/>
      <c r="M221" s="31"/>
      <c r="N221" s="31"/>
      <c r="O221" s="31"/>
      <c r="P221" s="31"/>
    </row>
    <row r="222" spans="1:16" s="93" customFormat="1" ht="19.5" x14ac:dyDescent="0.2">
      <c r="A222" s="41" t="s">
        <v>27</v>
      </c>
      <c r="B222" s="41" t="s">
        <v>28</v>
      </c>
      <c r="C222" s="41" t="s">
        <v>29</v>
      </c>
      <c r="D222" s="41" t="s">
        <v>21</v>
      </c>
      <c r="E222" s="43"/>
      <c r="F222" s="44">
        <f>SUM(F223:F225)</f>
        <v>214980</v>
      </c>
      <c r="G222" s="44">
        <f>SUM(G223:G225)</f>
        <v>316180</v>
      </c>
      <c r="H222" s="44">
        <f t="shared" ref="H222:H230" si="14">F222+G222</f>
        <v>531160</v>
      </c>
    </row>
    <row r="223" spans="1:16" s="31" customFormat="1" x14ac:dyDescent="0.2">
      <c r="A223" s="41"/>
      <c r="B223" s="41"/>
      <c r="C223" s="41"/>
      <c r="D223" s="42"/>
      <c r="E223" s="10" t="s">
        <v>337</v>
      </c>
      <c r="F223" s="64">
        <v>188880</v>
      </c>
      <c r="G223" s="64">
        <f>90880</f>
        <v>90880</v>
      </c>
      <c r="H223" s="66">
        <f t="shared" si="14"/>
        <v>279760</v>
      </c>
    </row>
    <row r="224" spans="1:16" s="31" customFormat="1" x14ac:dyDescent="0.2">
      <c r="A224" s="41"/>
      <c r="B224" s="41"/>
      <c r="C224" s="41"/>
      <c r="D224" s="42"/>
      <c r="E224" s="10" t="s">
        <v>338</v>
      </c>
      <c r="F224" s="64"/>
      <c r="G224" s="64">
        <f>225300</f>
        <v>225300</v>
      </c>
      <c r="H224" s="66">
        <f t="shared" si="14"/>
        <v>225300</v>
      </c>
    </row>
    <row r="225" spans="1:19" s="31" customFormat="1" x14ac:dyDescent="0.2">
      <c r="A225" s="41"/>
      <c r="B225" s="41"/>
      <c r="C225" s="41"/>
      <c r="D225" s="42"/>
      <c r="E225" s="6" t="s">
        <v>340</v>
      </c>
      <c r="F225" s="64">
        <v>26100</v>
      </c>
      <c r="G225" s="64"/>
      <c r="H225" s="66">
        <f t="shared" si="14"/>
        <v>26100</v>
      </c>
    </row>
    <row r="226" spans="1:19" s="69" customFormat="1" ht="37.5" x14ac:dyDescent="0.2">
      <c r="A226" s="41" t="s">
        <v>109</v>
      </c>
      <c r="B226" s="54" t="s">
        <v>110</v>
      </c>
      <c r="C226" s="54" t="s">
        <v>111</v>
      </c>
      <c r="D226" s="54" t="s">
        <v>112</v>
      </c>
      <c r="E226" s="67"/>
      <c r="F226" s="68">
        <f>SUM(F227)</f>
        <v>9000</v>
      </c>
      <c r="G226" s="68">
        <f>SUM(G227)</f>
        <v>0</v>
      </c>
      <c r="H226" s="68">
        <f t="shared" si="14"/>
        <v>9000</v>
      </c>
    </row>
    <row r="227" spans="1:19" x14ac:dyDescent="0.2">
      <c r="A227" s="75"/>
      <c r="B227" s="61"/>
      <c r="C227" s="61"/>
      <c r="D227" s="61"/>
      <c r="E227" s="8" t="s">
        <v>188</v>
      </c>
      <c r="F227" s="66">
        <f>9000</f>
        <v>9000</v>
      </c>
      <c r="G227" s="66"/>
      <c r="H227" s="66">
        <f t="shared" si="14"/>
        <v>9000</v>
      </c>
      <c r="Q227" s="18"/>
      <c r="R227" s="18"/>
      <c r="S227" s="18"/>
    </row>
    <row r="228" spans="1:19" s="69" customFormat="1" ht="37.5" x14ac:dyDescent="0.2">
      <c r="A228" s="41" t="s">
        <v>23</v>
      </c>
      <c r="B228" s="41" t="s">
        <v>8</v>
      </c>
      <c r="C228" s="41" t="s">
        <v>9</v>
      </c>
      <c r="D228" s="89" t="s">
        <v>10</v>
      </c>
      <c r="E228" s="94"/>
      <c r="F228" s="68">
        <f>SUM(F229)</f>
        <v>1297500</v>
      </c>
      <c r="G228" s="68">
        <f>SUM(G229)</f>
        <v>1700000</v>
      </c>
      <c r="H228" s="68">
        <f t="shared" si="14"/>
        <v>2997500</v>
      </c>
    </row>
    <row r="229" spans="1:19" ht="37.5" x14ac:dyDescent="0.2">
      <c r="A229" s="61"/>
      <c r="B229" s="61"/>
      <c r="C229" s="61"/>
      <c r="D229" s="83"/>
      <c r="E229" s="65" t="s">
        <v>236</v>
      </c>
      <c r="F229" s="66">
        <f>218307+79193+1000000</f>
        <v>1297500</v>
      </c>
      <c r="G229" s="66">
        <f>1000000+700000</f>
        <v>1700000</v>
      </c>
      <c r="H229" s="66">
        <f t="shared" si="14"/>
        <v>2997500</v>
      </c>
      <c r="Q229" s="18"/>
      <c r="R229" s="18"/>
      <c r="S229" s="18"/>
    </row>
    <row r="230" spans="1:19" s="80" customFormat="1" ht="37.5" x14ac:dyDescent="0.2">
      <c r="A230" s="33" t="s">
        <v>30</v>
      </c>
      <c r="B230" s="33"/>
      <c r="C230" s="33"/>
      <c r="D230" s="33" t="s">
        <v>31</v>
      </c>
      <c r="E230" s="95"/>
      <c r="F230" s="30">
        <f>F232</f>
        <v>600000</v>
      </c>
      <c r="G230" s="30">
        <f>G232</f>
        <v>1870000</v>
      </c>
      <c r="H230" s="30">
        <f t="shared" si="14"/>
        <v>2470000</v>
      </c>
    </row>
    <row r="231" spans="1:19" s="80" customFormat="1" ht="37.5" x14ac:dyDescent="0.2">
      <c r="A231" s="33" t="s">
        <v>32</v>
      </c>
      <c r="B231" s="33"/>
      <c r="C231" s="33"/>
      <c r="D231" s="58" t="s">
        <v>31</v>
      </c>
      <c r="E231" s="95"/>
      <c r="F231" s="30"/>
      <c r="G231" s="30"/>
      <c r="H231" s="30"/>
    </row>
    <row r="232" spans="1:19" s="80" customFormat="1" ht="20.25" x14ac:dyDescent="0.2">
      <c r="A232" s="41" t="s">
        <v>38</v>
      </c>
      <c r="B232" s="41" t="s">
        <v>39</v>
      </c>
      <c r="C232" s="41" t="s">
        <v>35</v>
      </c>
      <c r="D232" s="55" t="s">
        <v>40</v>
      </c>
      <c r="E232" s="95"/>
      <c r="F232" s="56">
        <f>SUM(F233:F237)</f>
        <v>600000</v>
      </c>
      <c r="G232" s="56">
        <f>SUM(G233:G237)</f>
        <v>1870000</v>
      </c>
      <c r="H232" s="56">
        <f t="shared" ref="H232:H237" si="15">F232+G232</f>
        <v>2470000</v>
      </c>
    </row>
    <row r="233" spans="1:19" s="80" customFormat="1" ht="37.5" x14ac:dyDescent="0.2">
      <c r="A233" s="96"/>
      <c r="B233" s="97"/>
      <c r="C233" s="97"/>
      <c r="D233" s="98"/>
      <c r="E233" s="83" t="s">
        <v>276</v>
      </c>
      <c r="F233" s="66">
        <f>100000</f>
        <v>100000</v>
      </c>
      <c r="G233" s="66"/>
      <c r="H233" s="66">
        <f t="shared" si="15"/>
        <v>100000</v>
      </c>
    </row>
    <row r="234" spans="1:19" s="80" customFormat="1" ht="20.25" x14ac:dyDescent="0.2">
      <c r="A234" s="96"/>
      <c r="B234" s="97"/>
      <c r="C234" s="97"/>
      <c r="D234" s="98"/>
      <c r="E234" s="9" t="s">
        <v>531</v>
      </c>
      <c r="F234" s="66"/>
      <c r="G234" s="66">
        <f>120000</f>
        <v>120000</v>
      </c>
      <c r="H234" s="66">
        <f t="shared" si="15"/>
        <v>120000</v>
      </c>
    </row>
    <row r="235" spans="1:19" s="80" customFormat="1" ht="56.25" x14ac:dyDescent="0.2">
      <c r="A235" s="96"/>
      <c r="B235" s="97"/>
      <c r="C235" s="97"/>
      <c r="D235" s="98"/>
      <c r="E235" s="9" t="s">
        <v>532</v>
      </c>
      <c r="F235" s="66"/>
      <c r="G235" s="66">
        <f>1400000</f>
        <v>1400000</v>
      </c>
      <c r="H235" s="66">
        <f t="shared" si="15"/>
        <v>1400000</v>
      </c>
    </row>
    <row r="236" spans="1:19" s="80" customFormat="1" ht="20.25" x14ac:dyDescent="0.2">
      <c r="A236" s="96"/>
      <c r="B236" s="97"/>
      <c r="C236" s="97"/>
      <c r="D236" s="98"/>
      <c r="E236" s="9" t="s">
        <v>168</v>
      </c>
      <c r="F236" s="66"/>
      <c r="G236" s="66">
        <f>350000</f>
        <v>350000</v>
      </c>
      <c r="H236" s="66">
        <f t="shared" si="15"/>
        <v>350000</v>
      </c>
    </row>
    <row r="237" spans="1:19" s="80" customFormat="1" ht="75" x14ac:dyDescent="0.2">
      <c r="A237" s="96"/>
      <c r="B237" s="97"/>
      <c r="C237" s="97"/>
      <c r="D237" s="98"/>
      <c r="E237" s="5" t="s">
        <v>488</v>
      </c>
      <c r="F237" s="66">
        <v>500000</v>
      </c>
      <c r="G237" s="66"/>
      <c r="H237" s="66">
        <f t="shared" si="15"/>
        <v>500000</v>
      </c>
    </row>
    <row r="238" spans="1:19" s="80" customFormat="1" ht="20.25" x14ac:dyDescent="0.2">
      <c r="A238" s="96"/>
      <c r="B238" s="97"/>
      <c r="C238" s="97"/>
      <c r="D238" s="98"/>
      <c r="E238" s="95" t="s">
        <v>274</v>
      </c>
      <c r="F238" s="99">
        <f>F100+F104+F119+F129+F143+F171+F209+F220+F230+F139</f>
        <v>270482322</v>
      </c>
      <c r="G238" s="99">
        <f>G100+G104+G119+G129+G143+G171+G209+G220+G230+G139</f>
        <v>400000</v>
      </c>
      <c r="H238" s="99">
        <f>F238+G238</f>
        <v>270882322</v>
      </c>
    </row>
    <row r="239" spans="1:19" s="73" customFormat="1" ht="20.25" x14ac:dyDescent="0.2">
      <c r="A239" s="176" t="s">
        <v>258</v>
      </c>
      <c r="B239" s="176"/>
      <c r="C239" s="176"/>
      <c r="D239" s="176"/>
      <c r="E239" s="176"/>
      <c r="F239" s="30"/>
      <c r="G239" s="30"/>
      <c r="H239" s="29"/>
    </row>
    <row r="240" spans="1:19" s="46" customFormat="1" ht="37.5" x14ac:dyDescent="0.2">
      <c r="A240" s="33" t="s">
        <v>137</v>
      </c>
      <c r="B240" s="33"/>
      <c r="C240" s="33"/>
      <c r="D240" s="29" t="s">
        <v>138</v>
      </c>
      <c r="E240" s="100"/>
      <c r="F240" s="30">
        <f>F245+F251+F242</f>
        <v>1494762</v>
      </c>
      <c r="G240" s="30">
        <f>G245+G251+G242</f>
        <v>332980</v>
      </c>
      <c r="H240" s="30">
        <f t="shared" ref="H240:H283" si="16">F240+G240</f>
        <v>1827742</v>
      </c>
      <c r="I240" s="45"/>
      <c r="J240" s="45"/>
      <c r="K240" s="45"/>
      <c r="L240" s="45"/>
      <c r="M240" s="45"/>
      <c r="N240" s="45"/>
    </row>
    <row r="241" spans="1:15" s="103" customFormat="1" ht="37.5" x14ac:dyDescent="0.2">
      <c r="A241" s="33" t="s">
        <v>139</v>
      </c>
      <c r="B241" s="33"/>
      <c r="C241" s="33"/>
      <c r="D241" s="37" t="s">
        <v>138</v>
      </c>
      <c r="E241" s="38"/>
      <c r="F241" s="30"/>
      <c r="G241" s="101"/>
      <c r="H241" s="30">
        <f t="shared" si="16"/>
        <v>0</v>
      </c>
      <c r="I241" s="102"/>
      <c r="J241" s="102"/>
      <c r="K241" s="102"/>
      <c r="L241" s="102"/>
      <c r="M241" s="102"/>
      <c r="N241" s="102"/>
    </row>
    <row r="242" spans="1:15" s="103" customFormat="1" ht="19.5" x14ac:dyDescent="0.2">
      <c r="A242" s="41" t="s">
        <v>142</v>
      </c>
      <c r="B242" s="41" t="s">
        <v>96</v>
      </c>
      <c r="C242" s="41" t="s">
        <v>97</v>
      </c>
      <c r="D242" s="42" t="s">
        <v>83</v>
      </c>
      <c r="E242" s="43"/>
      <c r="F242" s="44">
        <f>SUM(F243:F244)</f>
        <v>219172</v>
      </c>
      <c r="G242" s="44">
        <f>SUM(G243:G244)</f>
        <v>79980</v>
      </c>
      <c r="H242" s="44">
        <f t="shared" si="16"/>
        <v>299152</v>
      </c>
      <c r="I242" s="102"/>
      <c r="J242" s="102"/>
      <c r="K242" s="102"/>
      <c r="L242" s="102"/>
      <c r="M242" s="102"/>
      <c r="N242" s="102"/>
    </row>
    <row r="243" spans="1:15" s="46" customFormat="1" ht="56.25" x14ac:dyDescent="0.2">
      <c r="A243" s="104"/>
      <c r="B243" s="104"/>
      <c r="C243" s="104"/>
      <c r="D243" s="105"/>
      <c r="E243" s="83" t="s">
        <v>287</v>
      </c>
      <c r="F243" s="106">
        <f>19172+200000</f>
        <v>219172</v>
      </c>
      <c r="G243" s="106">
        <f>30000</f>
        <v>30000</v>
      </c>
      <c r="H243" s="64">
        <f t="shared" si="16"/>
        <v>249172</v>
      </c>
      <c r="I243" s="45"/>
      <c r="J243" s="45"/>
      <c r="K243" s="45"/>
      <c r="L243" s="45"/>
      <c r="M243" s="45"/>
      <c r="N243" s="45"/>
    </row>
    <row r="244" spans="1:15" s="46" customFormat="1" ht="37.5" x14ac:dyDescent="0.2">
      <c r="A244" s="104"/>
      <c r="B244" s="104"/>
      <c r="C244" s="104"/>
      <c r="D244" s="105"/>
      <c r="E244" s="162" t="s">
        <v>540</v>
      </c>
      <c r="F244" s="106"/>
      <c r="G244" s="106">
        <f>49980</f>
        <v>49980</v>
      </c>
      <c r="H244" s="64">
        <f t="shared" si="16"/>
        <v>49980</v>
      </c>
      <c r="I244" s="45"/>
      <c r="J244" s="45"/>
      <c r="K244" s="45"/>
      <c r="L244" s="45"/>
      <c r="M244" s="45"/>
      <c r="N244" s="45"/>
    </row>
    <row r="245" spans="1:15" s="103" customFormat="1" ht="75" x14ac:dyDescent="0.2">
      <c r="A245" s="41" t="s">
        <v>143</v>
      </c>
      <c r="B245" s="41" t="s">
        <v>50</v>
      </c>
      <c r="C245" s="41" t="s">
        <v>144</v>
      </c>
      <c r="D245" s="42" t="s">
        <v>252</v>
      </c>
      <c r="E245" s="43"/>
      <c r="F245" s="44">
        <f>SUM(F246:F250)</f>
        <v>1255590</v>
      </c>
      <c r="G245" s="44">
        <f>SUM(G246:G250)</f>
        <v>253000</v>
      </c>
      <c r="H245" s="44">
        <f t="shared" si="16"/>
        <v>1508590</v>
      </c>
      <c r="I245" s="102"/>
      <c r="J245" s="102"/>
      <c r="K245" s="102"/>
      <c r="L245" s="102"/>
      <c r="M245" s="102"/>
      <c r="N245" s="102"/>
    </row>
    <row r="246" spans="1:15" s="46" customFormat="1" ht="75" x14ac:dyDescent="0.2">
      <c r="A246" s="104"/>
      <c r="B246" s="104"/>
      <c r="C246" s="104"/>
      <c r="D246" s="105"/>
      <c r="E246" s="107" t="s">
        <v>259</v>
      </c>
      <c r="F246" s="106">
        <v>300353</v>
      </c>
      <c r="G246" s="106"/>
      <c r="H246" s="64">
        <f t="shared" si="16"/>
        <v>300353</v>
      </c>
      <c r="I246" s="45"/>
      <c r="J246" s="45"/>
      <c r="K246" s="45"/>
      <c r="L246" s="45"/>
      <c r="M246" s="45"/>
      <c r="N246" s="45"/>
    </row>
    <row r="247" spans="1:15" s="46" customFormat="1" ht="56.25" x14ac:dyDescent="0.2">
      <c r="A247" s="104"/>
      <c r="B247" s="104"/>
      <c r="C247" s="104"/>
      <c r="D247" s="105"/>
      <c r="E247" s="108" t="s">
        <v>533</v>
      </c>
      <c r="F247" s="106"/>
      <c r="G247" s="106">
        <f>78000</f>
        <v>78000</v>
      </c>
      <c r="H247" s="64">
        <f t="shared" si="16"/>
        <v>78000</v>
      </c>
      <c r="I247" s="45"/>
      <c r="J247" s="45"/>
      <c r="K247" s="45"/>
      <c r="L247" s="45"/>
      <c r="M247" s="45"/>
      <c r="N247" s="45"/>
    </row>
    <row r="248" spans="1:15" s="46" customFormat="1" ht="37.5" x14ac:dyDescent="0.2">
      <c r="A248" s="104"/>
      <c r="B248" s="104"/>
      <c r="C248" s="104"/>
      <c r="D248" s="105"/>
      <c r="E248" s="107" t="s">
        <v>404</v>
      </c>
      <c r="F248" s="106">
        <v>204000</v>
      </c>
      <c r="G248" s="106"/>
      <c r="H248" s="64">
        <f t="shared" si="16"/>
        <v>204000</v>
      </c>
      <c r="I248" s="45"/>
      <c r="J248" s="45"/>
      <c r="K248" s="45"/>
      <c r="L248" s="45"/>
      <c r="M248" s="45"/>
      <c r="N248" s="45"/>
    </row>
    <row r="249" spans="1:15" s="46" customFormat="1" ht="37.5" x14ac:dyDescent="0.2">
      <c r="A249" s="104"/>
      <c r="B249" s="104"/>
      <c r="C249" s="104"/>
      <c r="D249" s="105"/>
      <c r="E249" s="109" t="s">
        <v>489</v>
      </c>
      <c r="F249" s="106">
        <v>103000</v>
      </c>
      <c r="G249" s="106"/>
      <c r="H249" s="64">
        <f t="shared" si="16"/>
        <v>103000</v>
      </c>
      <c r="I249" s="45"/>
      <c r="J249" s="45"/>
      <c r="K249" s="45"/>
      <c r="L249" s="45"/>
      <c r="M249" s="45"/>
      <c r="N249" s="45"/>
    </row>
    <row r="250" spans="1:15" s="46" customFormat="1" ht="37.5" x14ac:dyDescent="0.2">
      <c r="A250" s="104"/>
      <c r="B250" s="104"/>
      <c r="C250" s="104"/>
      <c r="D250" s="105"/>
      <c r="E250" s="107" t="s">
        <v>288</v>
      </c>
      <c r="F250" s="106">
        <v>648237</v>
      </c>
      <c r="G250" s="106">
        <f>175000</f>
        <v>175000</v>
      </c>
      <c r="H250" s="64">
        <f t="shared" si="16"/>
        <v>823237</v>
      </c>
      <c r="I250" s="45"/>
      <c r="J250" s="45"/>
      <c r="K250" s="45"/>
      <c r="L250" s="45"/>
      <c r="M250" s="45"/>
      <c r="N250" s="45"/>
    </row>
    <row r="251" spans="1:15" s="103" customFormat="1" ht="56.25" x14ac:dyDescent="0.2">
      <c r="A251" s="41" t="s">
        <v>156</v>
      </c>
      <c r="B251" s="41" t="s">
        <v>157</v>
      </c>
      <c r="C251" s="41" t="s">
        <v>113</v>
      </c>
      <c r="D251" s="42" t="s">
        <v>158</v>
      </c>
      <c r="E251" s="43"/>
      <c r="F251" s="44">
        <f>SUM(F252:F252)</f>
        <v>20000</v>
      </c>
      <c r="G251" s="44">
        <f>SUM(G252:G252)</f>
        <v>0</v>
      </c>
      <c r="H251" s="44">
        <f t="shared" si="16"/>
        <v>20000</v>
      </c>
      <c r="I251" s="102"/>
      <c r="J251" s="102"/>
      <c r="K251" s="102"/>
      <c r="L251" s="102"/>
      <c r="M251" s="102"/>
      <c r="N251" s="102"/>
    </row>
    <row r="252" spans="1:15" s="46" customFormat="1" ht="56.25" x14ac:dyDescent="0.2">
      <c r="A252" s="104"/>
      <c r="B252" s="104"/>
      <c r="C252" s="104"/>
      <c r="D252" s="105"/>
      <c r="E252" s="138" t="s">
        <v>285</v>
      </c>
      <c r="F252" s="106">
        <f>20000</f>
        <v>20000</v>
      </c>
      <c r="G252" s="106"/>
      <c r="H252" s="64">
        <f t="shared" si="16"/>
        <v>20000</v>
      </c>
      <c r="I252" s="45"/>
      <c r="J252" s="45"/>
      <c r="K252" s="45"/>
      <c r="L252" s="45"/>
      <c r="M252" s="45"/>
      <c r="N252" s="45"/>
    </row>
    <row r="253" spans="1:15" s="46" customFormat="1" x14ac:dyDescent="0.2">
      <c r="A253" s="47" t="s">
        <v>59</v>
      </c>
      <c r="B253" s="47"/>
      <c r="C253" s="47"/>
      <c r="D253" s="47" t="s">
        <v>60</v>
      </c>
      <c r="E253" s="48"/>
      <c r="F253" s="49">
        <f>F255+F258+F260</f>
        <v>584373</v>
      </c>
      <c r="G253" s="49">
        <f>G255+G258+G260</f>
        <v>0</v>
      </c>
      <c r="H253" s="30">
        <f t="shared" si="16"/>
        <v>584373</v>
      </c>
      <c r="I253" s="45"/>
      <c r="J253" s="45"/>
      <c r="K253" s="45"/>
      <c r="L253" s="45"/>
      <c r="M253" s="45"/>
      <c r="N253" s="45"/>
      <c r="O253" s="45"/>
    </row>
    <row r="254" spans="1:15" s="53" customFormat="1" x14ac:dyDescent="0.2">
      <c r="A254" s="47" t="s">
        <v>61</v>
      </c>
      <c r="B254" s="47"/>
      <c r="C254" s="47"/>
      <c r="D254" s="50" t="s">
        <v>60</v>
      </c>
      <c r="E254" s="48"/>
      <c r="F254" s="51"/>
      <c r="G254" s="51"/>
      <c r="H254" s="30">
        <f t="shared" si="16"/>
        <v>0</v>
      </c>
      <c r="I254" s="52"/>
      <c r="J254" s="52"/>
      <c r="K254" s="52"/>
      <c r="L254" s="52"/>
      <c r="M254" s="52"/>
      <c r="N254" s="52"/>
      <c r="O254" s="52"/>
    </row>
    <row r="255" spans="1:15" s="87" customFormat="1" ht="37.5" x14ac:dyDescent="0.2">
      <c r="A255" s="54" t="s">
        <v>62</v>
      </c>
      <c r="B255" s="54" t="s">
        <v>63</v>
      </c>
      <c r="C255" s="54" t="s">
        <v>64</v>
      </c>
      <c r="D255" s="55" t="s">
        <v>65</v>
      </c>
      <c r="E255" s="110"/>
      <c r="F255" s="56">
        <f>SUM(F256:F257)</f>
        <v>482373</v>
      </c>
      <c r="G255" s="56">
        <f>SUM(G256:G257)</f>
        <v>0</v>
      </c>
      <c r="H255" s="44">
        <f t="shared" si="16"/>
        <v>482373</v>
      </c>
      <c r="I255" s="86"/>
      <c r="J255" s="86"/>
      <c r="K255" s="86"/>
      <c r="L255" s="86"/>
      <c r="M255" s="86"/>
      <c r="N255" s="86"/>
      <c r="O255" s="86"/>
    </row>
    <row r="256" spans="1:15" s="15" customFormat="1" ht="37.5" x14ac:dyDescent="0.2">
      <c r="A256" s="34"/>
      <c r="B256" s="34"/>
      <c r="C256" s="34"/>
      <c r="D256" s="9"/>
      <c r="E256" s="138" t="s">
        <v>403</v>
      </c>
      <c r="F256" s="66">
        <v>462373</v>
      </c>
      <c r="G256" s="66"/>
      <c r="H256" s="64">
        <f t="shared" si="16"/>
        <v>462373</v>
      </c>
    </row>
    <row r="257" spans="1:15" s="15" customFormat="1" ht="56.25" x14ac:dyDescent="0.2">
      <c r="A257" s="34"/>
      <c r="B257" s="34"/>
      <c r="C257" s="34"/>
      <c r="D257" s="9"/>
      <c r="E257" s="111" t="s">
        <v>490</v>
      </c>
      <c r="F257" s="66">
        <v>20000</v>
      </c>
      <c r="G257" s="66"/>
      <c r="H257" s="64">
        <f t="shared" si="16"/>
        <v>20000</v>
      </c>
    </row>
    <row r="258" spans="1:15" s="87" customFormat="1" ht="37.5" x14ac:dyDescent="0.2">
      <c r="A258" s="54" t="s">
        <v>66</v>
      </c>
      <c r="B258" s="54" t="s">
        <v>67</v>
      </c>
      <c r="C258" s="54" t="s">
        <v>68</v>
      </c>
      <c r="D258" s="55" t="s">
        <v>69</v>
      </c>
      <c r="E258" s="110"/>
      <c r="F258" s="56">
        <f>SUM(F259:F259)</f>
        <v>50000</v>
      </c>
      <c r="G258" s="56">
        <f>SUM(G259:G259)</f>
        <v>0</v>
      </c>
      <c r="H258" s="44">
        <f t="shared" si="16"/>
        <v>50000</v>
      </c>
      <c r="I258" s="86"/>
      <c r="J258" s="86"/>
      <c r="K258" s="86"/>
      <c r="L258" s="86"/>
      <c r="M258" s="86"/>
      <c r="N258" s="86"/>
      <c r="O258" s="86"/>
    </row>
    <row r="259" spans="1:15" s="15" customFormat="1" ht="75" x14ac:dyDescent="0.2">
      <c r="A259" s="34"/>
      <c r="B259" s="34"/>
      <c r="C259" s="34"/>
      <c r="D259" s="9"/>
      <c r="E259" s="138" t="s">
        <v>270</v>
      </c>
      <c r="F259" s="66">
        <f>50000</f>
        <v>50000</v>
      </c>
      <c r="G259" s="66"/>
      <c r="H259" s="64">
        <f t="shared" si="16"/>
        <v>50000</v>
      </c>
    </row>
    <row r="260" spans="1:15" s="15" customFormat="1" ht="56.25" x14ac:dyDescent="0.2">
      <c r="A260" s="54" t="s">
        <v>260</v>
      </c>
      <c r="B260" s="54" t="s">
        <v>261</v>
      </c>
      <c r="C260" s="54" t="s">
        <v>262</v>
      </c>
      <c r="D260" s="112" t="s">
        <v>263</v>
      </c>
      <c r="E260" s="138"/>
      <c r="F260" s="56">
        <f>SUM(F261:F262)</f>
        <v>52000</v>
      </c>
      <c r="G260" s="56">
        <f>SUM(G261:G262)</f>
        <v>0</v>
      </c>
      <c r="H260" s="44">
        <f t="shared" si="16"/>
        <v>52000</v>
      </c>
    </row>
    <row r="261" spans="1:15" s="15" customFormat="1" ht="56.25" x14ac:dyDescent="0.2">
      <c r="A261" s="34"/>
      <c r="B261" s="34"/>
      <c r="C261" s="34"/>
      <c r="D261" s="9"/>
      <c r="E261" s="138" t="s">
        <v>411</v>
      </c>
      <c r="F261" s="66">
        <f>15000</f>
        <v>15000</v>
      </c>
      <c r="G261" s="66"/>
      <c r="H261" s="64">
        <f t="shared" si="16"/>
        <v>15000</v>
      </c>
    </row>
    <row r="262" spans="1:15" s="15" customFormat="1" ht="56.25" x14ac:dyDescent="0.2">
      <c r="A262" s="34"/>
      <c r="B262" s="34"/>
      <c r="C262" s="34"/>
      <c r="D262" s="9"/>
      <c r="E262" s="113" t="s">
        <v>491</v>
      </c>
      <c r="F262" s="66">
        <v>37000</v>
      </c>
      <c r="G262" s="66"/>
      <c r="H262" s="64">
        <f t="shared" si="16"/>
        <v>37000</v>
      </c>
    </row>
    <row r="263" spans="1:15" s="69" customFormat="1" ht="37.5" x14ac:dyDescent="0.2">
      <c r="A263" s="29">
        <v>1000000</v>
      </c>
      <c r="B263" s="33"/>
      <c r="C263" s="33"/>
      <c r="D263" s="33" t="s">
        <v>11</v>
      </c>
      <c r="E263" s="43"/>
      <c r="F263" s="30">
        <f>F265</f>
        <v>85000</v>
      </c>
      <c r="G263" s="30">
        <f>G265</f>
        <v>9500</v>
      </c>
      <c r="H263" s="30">
        <f t="shared" si="16"/>
        <v>94500</v>
      </c>
      <c r="I263" s="73"/>
      <c r="J263" s="73"/>
      <c r="K263" s="73"/>
      <c r="L263" s="73"/>
      <c r="M263" s="73"/>
      <c r="N263" s="73"/>
      <c r="O263" s="73"/>
    </row>
    <row r="264" spans="1:15" s="69" customFormat="1" ht="37.5" x14ac:dyDescent="0.2">
      <c r="A264" s="29">
        <v>1010000</v>
      </c>
      <c r="B264" s="33"/>
      <c r="C264" s="33"/>
      <c r="D264" s="58" t="s">
        <v>11</v>
      </c>
      <c r="E264" s="43"/>
      <c r="F264" s="30"/>
      <c r="G264" s="30"/>
      <c r="H264" s="30">
        <f t="shared" si="16"/>
        <v>0</v>
      </c>
      <c r="I264" s="73"/>
      <c r="J264" s="73"/>
      <c r="K264" s="73"/>
      <c r="L264" s="73"/>
      <c r="M264" s="73"/>
      <c r="N264" s="73"/>
      <c r="O264" s="73"/>
    </row>
    <row r="265" spans="1:15" s="60" customFormat="1" ht="19.5" x14ac:dyDescent="0.2">
      <c r="A265" s="42">
        <v>1014030</v>
      </c>
      <c r="B265" s="41" t="s">
        <v>264</v>
      </c>
      <c r="C265" s="41" t="s">
        <v>265</v>
      </c>
      <c r="D265" s="41" t="s">
        <v>266</v>
      </c>
      <c r="E265" s="43"/>
      <c r="F265" s="44">
        <f>SUM(F266:F270)</f>
        <v>85000</v>
      </c>
      <c r="G265" s="44">
        <f>SUM(G266:G270)</f>
        <v>9500</v>
      </c>
      <c r="H265" s="44">
        <f t="shared" si="16"/>
        <v>94500</v>
      </c>
      <c r="I265" s="59"/>
      <c r="J265" s="59"/>
      <c r="K265" s="59"/>
      <c r="L265" s="59"/>
      <c r="M265" s="59"/>
      <c r="N265" s="59"/>
      <c r="O265" s="59"/>
    </row>
    <row r="266" spans="1:15" s="32" customFormat="1" ht="37.5" x14ac:dyDescent="0.2">
      <c r="A266" s="114"/>
      <c r="B266" s="74"/>
      <c r="C266" s="74"/>
      <c r="D266" s="114"/>
      <c r="E266" s="57" t="s">
        <v>267</v>
      </c>
      <c r="F266" s="64">
        <f>30000</f>
        <v>30000</v>
      </c>
      <c r="G266" s="64"/>
      <c r="H266" s="64">
        <f t="shared" si="16"/>
        <v>30000</v>
      </c>
      <c r="I266" s="31"/>
      <c r="J266" s="31"/>
      <c r="K266" s="31"/>
      <c r="L266" s="31"/>
      <c r="M266" s="31"/>
      <c r="N266" s="31"/>
      <c r="O266" s="31"/>
    </row>
    <row r="267" spans="1:15" s="32" customFormat="1" ht="37.5" x14ac:dyDescent="0.2">
      <c r="A267" s="114"/>
      <c r="B267" s="74"/>
      <c r="C267" s="74"/>
      <c r="D267" s="114"/>
      <c r="E267" s="83" t="s">
        <v>456</v>
      </c>
      <c r="F267" s="64">
        <f>10000</f>
        <v>10000</v>
      </c>
      <c r="G267" s="64"/>
      <c r="H267" s="64">
        <f t="shared" si="16"/>
        <v>10000</v>
      </c>
      <c r="I267" s="31"/>
      <c r="J267" s="31"/>
      <c r="K267" s="31"/>
      <c r="L267" s="31"/>
      <c r="M267" s="31"/>
      <c r="N267" s="31"/>
      <c r="O267" s="31"/>
    </row>
    <row r="268" spans="1:15" s="32" customFormat="1" ht="37.5" x14ac:dyDescent="0.2">
      <c r="A268" s="114"/>
      <c r="B268" s="74"/>
      <c r="C268" s="74"/>
      <c r="D268" s="114"/>
      <c r="E268" s="83" t="s">
        <v>410</v>
      </c>
      <c r="F268" s="64">
        <f>20000</f>
        <v>20000</v>
      </c>
      <c r="G268" s="64"/>
      <c r="H268" s="64">
        <f t="shared" si="16"/>
        <v>20000</v>
      </c>
      <c r="I268" s="31"/>
      <c r="J268" s="31"/>
      <c r="K268" s="31"/>
      <c r="L268" s="31"/>
      <c r="M268" s="31"/>
      <c r="N268" s="31"/>
      <c r="O268" s="31"/>
    </row>
    <row r="269" spans="1:15" s="32" customFormat="1" ht="37.5" x14ac:dyDescent="0.2">
      <c r="A269" s="114"/>
      <c r="B269" s="74"/>
      <c r="C269" s="74"/>
      <c r="D269" s="114"/>
      <c r="E269" s="162" t="s">
        <v>541</v>
      </c>
      <c r="F269" s="64"/>
      <c r="G269" s="64">
        <f>9500</f>
        <v>9500</v>
      </c>
      <c r="H269" s="64">
        <f t="shared" si="16"/>
        <v>9500</v>
      </c>
      <c r="I269" s="31"/>
      <c r="J269" s="31"/>
      <c r="K269" s="31"/>
      <c r="L269" s="31"/>
      <c r="M269" s="31"/>
      <c r="N269" s="31"/>
      <c r="O269" s="31"/>
    </row>
    <row r="270" spans="1:15" s="19" customFormat="1" ht="37.5" x14ac:dyDescent="0.2">
      <c r="A270" s="74"/>
      <c r="B270" s="74"/>
      <c r="C270" s="74"/>
      <c r="D270" s="114"/>
      <c r="E270" s="113" t="s">
        <v>492</v>
      </c>
      <c r="F270" s="64">
        <v>25000</v>
      </c>
      <c r="G270" s="64"/>
      <c r="H270" s="64">
        <f t="shared" si="16"/>
        <v>25000</v>
      </c>
      <c r="I270" s="20"/>
      <c r="J270" s="20"/>
      <c r="K270" s="20"/>
      <c r="L270" s="20"/>
      <c r="M270" s="20"/>
      <c r="N270" s="20"/>
      <c r="O270" s="20"/>
    </row>
    <row r="271" spans="1:15" s="19" customFormat="1" ht="56.25" x14ac:dyDescent="0.2">
      <c r="A271" s="29">
        <v>1200000</v>
      </c>
      <c r="B271" s="33"/>
      <c r="C271" s="33"/>
      <c r="D271" s="33" t="s">
        <v>116</v>
      </c>
      <c r="E271" s="113"/>
      <c r="F271" s="30">
        <f>F273</f>
        <v>250000</v>
      </c>
      <c r="G271" s="30">
        <f>G273</f>
        <v>200000</v>
      </c>
      <c r="H271" s="30">
        <f t="shared" si="16"/>
        <v>450000</v>
      </c>
      <c r="I271" s="20"/>
      <c r="J271" s="20"/>
      <c r="K271" s="20"/>
      <c r="L271" s="20"/>
      <c r="M271" s="20"/>
      <c r="N271" s="20"/>
      <c r="O271" s="20"/>
    </row>
    <row r="272" spans="1:15" s="19" customFormat="1" ht="56.25" x14ac:dyDescent="0.2">
      <c r="A272" s="29">
        <v>1210000</v>
      </c>
      <c r="B272" s="33"/>
      <c r="C272" s="33"/>
      <c r="D272" s="58" t="s">
        <v>116</v>
      </c>
      <c r="E272" s="113"/>
      <c r="F272" s="64"/>
      <c r="G272" s="64"/>
      <c r="H272" s="64">
        <f t="shared" si="16"/>
        <v>0</v>
      </c>
      <c r="I272" s="20"/>
      <c r="J272" s="20"/>
      <c r="K272" s="20"/>
      <c r="L272" s="20"/>
      <c r="M272" s="20"/>
      <c r="N272" s="20"/>
      <c r="O272" s="20"/>
    </row>
    <row r="273" spans="1:15" s="19" customFormat="1" x14ac:dyDescent="0.2">
      <c r="A273" s="41" t="s">
        <v>121</v>
      </c>
      <c r="B273" s="41" t="s">
        <v>28</v>
      </c>
      <c r="C273" s="41" t="s">
        <v>29</v>
      </c>
      <c r="D273" s="41" t="s">
        <v>21</v>
      </c>
      <c r="E273" s="113"/>
      <c r="F273" s="64">
        <f>SUM(F274:F275)</f>
        <v>250000</v>
      </c>
      <c r="G273" s="64">
        <f>SUM(G274:G275)</f>
        <v>200000</v>
      </c>
      <c r="H273" s="44">
        <f t="shared" si="16"/>
        <v>450000</v>
      </c>
      <c r="I273" s="20"/>
      <c r="J273" s="20"/>
      <c r="K273" s="20"/>
      <c r="L273" s="20"/>
      <c r="M273" s="20"/>
      <c r="N273" s="20"/>
      <c r="O273" s="20"/>
    </row>
    <row r="274" spans="1:15" s="19" customFormat="1" ht="75" x14ac:dyDescent="0.2">
      <c r="A274" s="74"/>
      <c r="B274" s="74"/>
      <c r="C274" s="74"/>
      <c r="D274" s="114"/>
      <c r="E274" s="115" t="s">
        <v>493</v>
      </c>
      <c r="F274" s="64">
        <v>250000</v>
      </c>
      <c r="G274" s="64"/>
      <c r="H274" s="64">
        <f t="shared" si="16"/>
        <v>250000</v>
      </c>
      <c r="I274" s="20"/>
      <c r="J274" s="20"/>
      <c r="K274" s="20"/>
      <c r="L274" s="20"/>
      <c r="M274" s="20"/>
      <c r="N274" s="20"/>
      <c r="O274" s="20"/>
    </row>
    <row r="275" spans="1:15" s="19" customFormat="1" ht="37.5" x14ac:dyDescent="0.2">
      <c r="A275" s="74"/>
      <c r="B275" s="74"/>
      <c r="C275" s="74"/>
      <c r="D275" s="114"/>
      <c r="E275" s="57" t="s">
        <v>534</v>
      </c>
      <c r="F275" s="64"/>
      <c r="G275" s="64">
        <f>200000</f>
        <v>200000</v>
      </c>
      <c r="H275" s="64">
        <f t="shared" si="16"/>
        <v>200000</v>
      </c>
      <c r="I275" s="20"/>
      <c r="J275" s="20"/>
      <c r="K275" s="20"/>
      <c r="L275" s="20"/>
      <c r="M275" s="20"/>
      <c r="N275" s="20"/>
      <c r="O275" s="20"/>
    </row>
    <row r="276" spans="1:15" s="69" customFormat="1" ht="37.5" x14ac:dyDescent="0.2">
      <c r="A276" s="29">
        <v>1500000</v>
      </c>
      <c r="B276" s="33"/>
      <c r="C276" s="33"/>
      <c r="D276" s="29" t="s">
        <v>82</v>
      </c>
      <c r="E276" s="38"/>
      <c r="F276" s="30">
        <f>F278+F282+F287+F285+F289</f>
        <v>7931109</v>
      </c>
      <c r="G276" s="30">
        <f>G278+G282+G287+G285+G289</f>
        <v>50000</v>
      </c>
      <c r="H276" s="30">
        <f t="shared" si="16"/>
        <v>7981109</v>
      </c>
      <c r="I276" s="73"/>
    </row>
    <row r="277" spans="1:15" s="69" customFormat="1" ht="37.5" x14ac:dyDescent="0.2">
      <c r="A277" s="29">
        <v>1510000</v>
      </c>
      <c r="B277" s="33"/>
      <c r="C277" s="33"/>
      <c r="D277" s="37" t="s">
        <v>82</v>
      </c>
      <c r="E277" s="38"/>
      <c r="F277" s="30"/>
      <c r="G277" s="30"/>
      <c r="H277" s="30"/>
      <c r="I277" s="73"/>
    </row>
    <row r="278" spans="1:15" s="93" customFormat="1" ht="37.5" x14ac:dyDescent="0.2">
      <c r="A278" s="41" t="s">
        <v>76</v>
      </c>
      <c r="B278" s="41" t="s">
        <v>25</v>
      </c>
      <c r="C278" s="41" t="s">
        <v>26</v>
      </c>
      <c r="D278" s="42" t="s">
        <v>22</v>
      </c>
      <c r="E278" s="43"/>
      <c r="F278" s="44">
        <f>SUM(F279:F281)</f>
        <v>3300000</v>
      </c>
      <c r="G278" s="44">
        <f>SUM(G279:G281)</f>
        <v>0</v>
      </c>
      <c r="H278" s="44">
        <f t="shared" si="16"/>
        <v>3300000</v>
      </c>
    </row>
    <row r="279" spans="1:15" s="31" customFormat="1" ht="56.25" x14ac:dyDescent="0.2">
      <c r="A279" s="41"/>
      <c r="B279" s="41"/>
      <c r="C279" s="41"/>
      <c r="D279" s="42"/>
      <c r="E279" s="116" t="s">
        <v>268</v>
      </c>
      <c r="F279" s="64">
        <v>3000000</v>
      </c>
      <c r="G279" s="64"/>
      <c r="H279" s="64">
        <f t="shared" si="16"/>
        <v>3000000</v>
      </c>
    </row>
    <row r="280" spans="1:15" s="31" customFormat="1" ht="56.25" x14ac:dyDescent="0.2">
      <c r="A280" s="41"/>
      <c r="B280" s="41"/>
      <c r="C280" s="41"/>
      <c r="D280" s="42"/>
      <c r="E280" s="117" t="s">
        <v>283</v>
      </c>
      <c r="F280" s="64">
        <f>100000</f>
        <v>100000</v>
      </c>
      <c r="G280" s="64"/>
      <c r="H280" s="64">
        <f t="shared" si="16"/>
        <v>100000</v>
      </c>
    </row>
    <row r="281" spans="1:15" s="31" customFormat="1" ht="75" x14ac:dyDescent="0.2">
      <c r="A281" s="41"/>
      <c r="B281" s="41"/>
      <c r="C281" s="41"/>
      <c r="D281" s="42"/>
      <c r="E281" s="117" t="s">
        <v>271</v>
      </c>
      <c r="F281" s="64">
        <f>200000</f>
        <v>200000</v>
      </c>
      <c r="G281" s="64"/>
      <c r="H281" s="64">
        <f t="shared" si="16"/>
        <v>200000</v>
      </c>
    </row>
    <row r="282" spans="1:15" s="60" customFormat="1" ht="19.5" x14ac:dyDescent="0.2">
      <c r="A282" s="41" t="s">
        <v>77</v>
      </c>
      <c r="B282" s="41" t="s">
        <v>98</v>
      </c>
      <c r="C282" s="41" t="s">
        <v>26</v>
      </c>
      <c r="D282" s="42" t="s">
        <v>89</v>
      </c>
      <c r="E282" s="43"/>
      <c r="F282" s="68">
        <f>SUM(F283:F284)</f>
        <v>3857935</v>
      </c>
      <c r="G282" s="68">
        <f>SUM(G283:G284)</f>
        <v>0</v>
      </c>
      <c r="H282" s="44">
        <f t="shared" si="16"/>
        <v>3857935</v>
      </c>
      <c r="I282" s="59"/>
    </row>
    <row r="283" spans="1:15" s="31" customFormat="1" ht="37.5" x14ac:dyDescent="0.2">
      <c r="A283" s="41"/>
      <c r="B283" s="41"/>
      <c r="C283" s="41"/>
      <c r="D283" s="42"/>
      <c r="E283" s="118" t="s">
        <v>269</v>
      </c>
      <c r="F283" s="64">
        <v>3070076</v>
      </c>
      <c r="G283" s="64"/>
      <c r="H283" s="64">
        <f t="shared" si="16"/>
        <v>3070076</v>
      </c>
    </row>
    <row r="284" spans="1:15" s="31" customFormat="1" ht="37.5" x14ac:dyDescent="0.2">
      <c r="A284" s="41"/>
      <c r="B284" s="41"/>
      <c r="C284" s="41"/>
      <c r="D284" s="42"/>
      <c r="E284" s="117" t="s">
        <v>286</v>
      </c>
      <c r="F284" s="64">
        <f>787859</f>
        <v>787859</v>
      </c>
      <c r="G284" s="64"/>
      <c r="H284" s="64"/>
    </row>
    <row r="285" spans="1:15" s="60" customFormat="1" ht="19.5" x14ac:dyDescent="0.2">
      <c r="A285" s="41" t="s">
        <v>78</v>
      </c>
      <c r="B285" s="41" t="s">
        <v>99</v>
      </c>
      <c r="C285" s="41" t="s">
        <v>26</v>
      </c>
      <c r="D285" s="42" t="s">
        <v>92</v>
      </c>
      <c r="E285" s="43"/>
      <c r="F285" s="68">
        <f>SUM(F286:F286)</f>
        <v>356542</v>
      </c>
      <c r="G285" s="68">
        <f>SUM(G286:G286)</f>
        <v>0</v>
      </c>
      <c r="H285" s="44">
        <f t="shared" ref="H285:H302" si="17">F285+G285</f>
        <v>356542</v>
      </c>
      <c r="I285" s="59"/>
    </row>
    <row r="286" spans="1:15" s="31" customFormat="1" ht="37.5" x14ac:dyDescent="0.2">
      <c r="A286" s="41"/>
      <c r="B286" s="41"/>
      <c r="C286" s="41"/>
      <c r="D286" s="42"/>
      <c r="E286" s="117" t="s">
        <v>289</v>
      </c>
      <c r="F286" s="64">
        <f>356542</f>
        <v>356542</v>
      </c>
      <c r="G286" s="64"/>
      <c r="H286" s="64">
        <f t="shared" si="17"/>
        <v>356542</v>
      </c>
    </row>
    <row r="287" spans="1:15" s="60" customFormat="1" ht="37.5" x14ac:dyDescent="0.2">
      <c r="A287" s="41" t="s">
        <v>81</v>
      </c>
      <c r="B287" s="41" t="s">
        <v>57</v>
      </c>
      <c r="C287" s="41" t="s">
        <v>26</v>
      </c>
      <c r="D287" s="42" t="s">
        <v>58</v>
      </c>
      <c r="E287" s="43"/>
      <c r="F287" s="68">
        <f>SUM(F288:F288)</f>
        <v>41632</v>
      </c>
      <c r="G287" s="68">
        <f>SUM(G288:G288)</f>
        <v>0</v>
      </c>
      <c r="H287" s="44">
        <f t="shared" si="17"/>
        <v>41632</v>
      </c>
      <c r="I287" s="59"/>
    </row>
    <row r="288" spans="1:15" s="31" customFormat="1" ht="93.75" x14ac:dyDescent="0.2">
      <c r="A288" s="41"/>
      <c r="B288" s="41"/>
      <c r="C288" s="41"/>
      <c r="D288" s="42"/>
      <c r="E288" s="117" t="s">
        <v>284</v>
      </c>
      <c r="F288" s="64">
        <f>41632</f>
        <v>41632</v>
      </c>
      <c r="G288" s="64"/>
      <c r="H288" s="64">
        <f t="shared" si="17"/>
        <v>41632</v>
      </c>
    </row>
    <row r="289" spans="1:16" s="31" customFormat="1" ht="37.5" x14ac:dyDescent="0.2">
      <c r="A289" s="41" t="s">
        <v>101</v>
      </c>
      <c r="B289" s="41" t="s">
        <v>102</v>
      </c>
      <c r="C289" s="41" t="s">
        <v>9</v>
      </c>
      <c r="D289" s="42" t="s">
        <v>103</v>
      </c>
      <c r="E289" s="38"/>
      <c r="F289" s="56">
        <f>SUM(F290:F302)</f>
        <v>375000</v>
      </c>
      <c r="G289" s="56">
        <f>SUM(G290:G302)</f>
        <v>50000</v>
      </c>
      <c r="H289" s="56">
        <f t="shared" si="17"/>
        <v>425000</v>
      </c>
    </row>
    <row r="290" spans="1:16" s="31" customFormat="1" ht="75" x14ac:dyDescent="0.2">
      <c r="A290" s="41"/>
      <c r="B290" s="41"/>
      <c r="C290" s="41"/>
      <c r="D290" s="42"/>
      <c r="E290" s="138" t="s">
        <v>412</v>
      </c>
      <c r="F290" s="64">
        <f>45000</f>
        <v>45000</v>
      </c>
      <c r="G290" s="64"/>
      <c r="H290" s="64">
        <f t="shared" si="17"/>
        <v>45000</v>
      </c>
    </row>
    <row r="291" spans="1:16" s="31" customFormat="1" ht="112.5" x14ac:dyDescent="0.2">
      <c r="A291" s="41"/>
      <c r="B291" s="41"/>
      <c r="C291" s="41"/>
      <c r="D291" s="42"/>
      <c r="E291" s="166" t="s">
        <v>542</v>
      </c>
      <c r="F291" s="64"/>
      <c r="G291" s="64">
        <f>50000</f>
        <v>50000</v>
      </c>
      <c r="H291" s="64">
        <f t="shared" si="17"/>
        <v>50000</v>
      </c>
    </row>
    <row r="292" spans="1:16" s="31" customFormat="1" ht="56.25" x14ac:dyDescent="0.2">
      <c r="A292" s="41"/>
      <c r="B292" s="41"/>
      <c r="C292" s="41"/>
      <c r="D292" s="42"/>
      <c r="E292" s="148" t="s">
        <v>494</v>
      </c>
      <c r="F292" s="64">
        <v>40000</v>
      </c>
      <c r="G292" s="64"/>
      <c r="H292" s="64">
        <f t="shared" si="17"/>
        <v>40000</v>
      </c>
    </row>
    <row r="293" spans="1:16" s="31" customFormat="1" ht="75" x14ac:dyDescent="0.2">
      <c r="A293" s="41"/>
      <c r="B293" s="41"/>
      <c r="C293" s="41"/>
      <c r="D293" s="42"/>
      <c r="E293" s="148" t="s">
        <v>495</v>
      </c>
      <c r="F293" s="64">
        <v>20000</v>
      </c>
      <c r="G293" s="64"/>
      <c r="H293" s="64">
        <f t="shared" si="17"/>
        <v>20000</v>
      </c>
    </row>
    <row r="294" spans="1:16" s="31" customFormat="1" ht="56.25" x14ac:dyDescent="0.2">
      <c r="A294" s="41"/>
      <c r="B294" s="41"/>
      <c r="C294" s="41"/>
      <c r="D294" s="42"/>
      <c r="E294" s="148" t="s">
        <v>496</v>
      </c>
      <c r="F294" s="64">
        <v>30000</v>
      </c>
      <c r="G294" s="64"/>
      <c r="H294" s="64">
        <f t="shared" si="17"/>
        <v>30000</v>
      </c>
    </row>
    <row r="295" spans="1:16" s="31" customFormat="1" ht="56.25" x14ac:dyDescent="0.2">
      <c r="A295" s="41"/>
      <c r="B295" s="41"/>
      <c r="C295" s="41"/>
      <c r="D295" s="42"/>
      <c r="E295" s="148" t="s">
        <v>497</v>
      </c>
      <c r="F295" s="64">
        <v>20000</v>
      </c>
      <c r="G295" s="64"/>
      <c r="H295" s="64">
        <f t="shared" si="17"/>
        <v>20000</v>
      </c>
    </row>
    <row r="296" spans="1:16" s="31" customFormat="1" ht="56.25" x14ac:dyDescent="0.2">
      <c r="A296" s="41"/>
      <c r="B296" s="41"/>
      <c r="C296" s="41"/>
      <c r="D296" s="42"/>
      <c r="E296" s="148" t="s">
        <v>498</v>
      </c>
      <c r="F296" s="64">
        <v>20000</v>
      </c>
      <c r="G296" s="64"/>
      <c r="H296" s="64">
        <f t="shared" si="17"/>
        <v>20000</v>
      </c>
    </row>
    <row r="297" spans="1:16" s="31" customFormat="1" ht="56.25" x14ac:dyDescent="0.2">
      <c r="A297" s="41"/>
      <c r="B297" s="41"/>
      <c r="C297" s="41"/>
      <c r="D297" s="42"/>
      <c r="E297" s="148" t="s">
        <v>499</v>
      </c>
      <c r="F297" s="64">
        <v>20000</v>
      </c>
      <c r="G297" s="64"/>
      <c r="H297" s="64">
        <f t="shared" si="17"/>
        <v>20000</v>
      </c>
    </row>
    <row r="298" spans="1:16" s="31" customFormat="1" ht="56.25" x14ac:dyDescent="0.2">
      <c r="A298" s="41"/>
      <c r="B298" s="41"/>
      <c r="C298" s="41"/>
      <c r="D298" s="42"/>
      <c r="E298" s="148" t="s">
        <v>500</v>
      </c>
      <c r="F298" s="64">
        <v>40000</v>
      </c>
      <c r="G298" s="64"/>
      <c r="H298" s="64">
        <f t="shared" si="17"/>
        <v>40000</v>
      </c>
    </row>
    <row r="299" spans="1:16" s="31" customFormat="1" ht="75" x14ac:dyDescent="0.2">
      <c r="A299" s="41"/>
      <c r="B299" s="41"/>
      <c r="C299" s="41"/>
      <c r="D299" s="42"/>
      <c r="E299" s="148" t="s">
        <v>501</v>
      </c>
      <c r="F299" s="64">
        <v>40000</v>
      </c>
      <c r="G299" s="64"/>
      <c r="H299" s="64">
        <f t="shared" si="17"/>
        <v>40000</v>
      </c>
    </row>
    <row r="300" spans="1:16" s="31" customFormat="1" ht="56.25" x14ac:dyDescent="0.2">
      <c r="A300" s="41"/>
      <c r="B300" s="41"/>
      <c r="C300" s="41"/>
      <c r="D300" s="42"/>
      <c r="E300" s="148" t="s">
        <v>502</v>
      </c>
      <c r="F300" s="64">
        <v>40000</v>
      </c>
      <c r="G300" s="64"/>
      <c r="H300" s="64">
        <f t="shared" si="17"/>
        <v>40000</v>
      </c>
    </row>
    <row r="301" spans="1:16" s="31" customFormat="1" ht="37.5" x14ac:dyDescent="0.2">
      <c r="A301" s="41"/>
      <c r="B301" s="41"/>
      <c r="C301" s="41"/>
      <c r="D301" s="42"/>
      <c r="E301" s="148" t="s">
        <v>503</v>
      </c>
      <c r="F301" s="64">
        <v>50000</v>
      </c>
      <c r="G301" s="64"/>
      <c r="H301" s="64">
        <f t="shared" si="17"/>
        <v>50000</v>
      </c>
    </row>
    <row r="302" spans="1:16" s="31" customFormat="1" ht="56.25" x14ac:dyDescent="0.2">
      <c r="A302" s="41"/>
      <c r="B302" s="41"/>
      <c r="C302" s="41"/>
      <c r="D302" s="42"/>
      <c r="E302" s="148" t="s">
        <v>504</v>
      </c>
      <c r="F302" s="64">
        <v>10000</v>
      </c>
      <c r="G302" s="64"/>
      <c r="H302" s="64">
        <f t="shared" si="17"/>
        <v>10000</v>
      </c>
    </row>
    <row r="303" spans="1:16" s="80" customFormat="1" ht="20.25" x14ac:dyDescent="0.2">
      <c r="A303" s="96"/>
      <c r="B303" s="97"/>
      <c r="C303" s="97"/>
      <c r="D303" s="98"/>
      <c r="E303" s="95" t="s">
        <v>273</v>
      </c>
      <c r="F303" s="99">
        <f>F238+F276+F240+F263+F253+F271</f>
        <v>280827566</v>
      </c>
      <c r="G303" s="99">
        <f>G238+G276+G240+G263+G253+G271</f>
        <v>992480</v>
      </c>
      <c r="H303" s="99">
        <f>H238+H276+H240+H263+H253+H271</f>
        <v>281820046</v>
      </c>
      <c r="K303" s="119"/>
    </row>
    <row r="304" spans="1:16" s="32" customFormat="1" ht="20.25" x14ac:dyDescent="0.2">
      <c r="A304" s="168" t="s">
        <v>189</v>
      </c>
      <c r="B304" s="168"/>
      <c r="C304" s="168"/>
      <c r="D304" s="168"/>
      <c r="E304" s="168"/>
      <c r="F304" s="168"/>
      <c r="G304" s="168"/>
      <c r="H304" s="168"/>
      <c r="I304" s="31"/>
      <c r="J304" s="31"/>
      <c r="K304" s="31"/>
      <c r="L304" s="31"/>
      <c r="M304" s="31"/>
      <c r="N304" s="31"/>
      <c r="O304" s="31"/>
      <c r="P304" s="31"/>
    </row>
    <row r="305" spans="1:8" x14ac:dyDescent="0.2">
      <c r="A305" s="33" t="s">
        <v>159</v>
      </c>
      <c r="B305" s="33"/>
      <c r="C305" s="33"/>
      <c r="D305" s="33" t="s">
        <v>160</v>
      </c>
      <c r="E305" s="8"/>
      <c r="F305" s="51">
        <f>F318+F314+F325+F307+F320+F327</f>
        <v>7083254</v>
      </c>
      <c r="G305" s="51">
        <f>G318+G314+G325+G307+G320+G327</f>
        <v>62388</v>
      </c>
      <c r="H305" s="51">
        <f t="shared" ref="H305:H413" si="18">F305+G305</f>
        <v>7145642</v>
      </c>
    </row>
    <row r="306" spans="1:8" x14ac:dyDescent="0.2">
      <c r="A306" s="33" t="s">
        <v>161</v>
      </c>
      <c r="B306" s="33"/>
      <c r="C306" s="33"/>
      <c r="D306" s="58" t="s">
        <v>160</v>
      </c>
      <c r="E306" s="8"/>
      <c r="F306" s="66"/>
      <c r="G306" s="66"/>
      <c r="H306" s="66">
        <f t="shared" si="18"/>
        <v>0</v>
      </c>
    </row>
    <row r="307" spans="1:8" ht="56.25" x14ac:dyDescent="0.2">
      <c r="A307" s="41" t="s">
        <v>363</v>
      </c>
      <c r="B307" s="54" t="s">
        <v>4</v>
      </c>
      <c r="C307" s="54" t="s">
        <v>5</v>
      </c>
      <c r="D307" s="55" t="s">
        <v>6</v>
      </c>
      <c r="E307" s="67"/>
      <c r="F307" s="66">
        <f>SUM(F308:F313)</f>
        <v>993982</v>
      </c>
      <c r="G307" s="66">
        <f>SUM(G308:G313)</f>
        <v>-109402</v>
      </c>
      <c r="H307" s="66">
        <f t="shared" si="18"/>
        <v>884580</v>
      </c>
    </row>
    <row r="308" spans="1:8" x14ac:dyDescent="0.2">
      <c r="A308" s="41"/>
      <c r="B308" s="41"/>
      <c r="C308" s="41"/>
      <c r="D308" s="42"/>
      <c r="E308" s="65" t="s">
        <v>124</v>
      </c>
      <c r="F308" s="66">
        <v>222804</v>
      </c>
      <c r="G308" s="66"/>
      <c r="H308" s="66">
        <f t="shared" si="18"/>
        <v>222804</v>
      </c>
    </row>
    <row r="309" spans="1:8" ht="37.5" x14ac:dyDescent="0.2">
      <c r="A309" s="41"/>
      <c r="B309" s="41"/>
      <c r="C309" s="41"/>
      <c r="D309" s="42"/>
      <c r="E309" s="7" t="s">
        <v>448</v>
      </c>
      <c r="F309" s="66">
        <v>142689</v>
      </c>
      <c r="G309" s="66">
        <f>-200</f>
        <v>-200</v>
      </c>
      <c r="H309" s="66">
        <f t="shared" si="18"/>
        <v>142489</v>
      </c>
    </row>
    <row r="310" spans="1:8" ht="37.5" x14ac:dyDescent="0.2">
      <c r="A310" s="41"/>
      <c r="B310" s="41"/>
      <c r="C310" s="41"/>
      <c r="D310" s="42"/>
      <c r="E310" s="65" t="s">
        <v>519</v>
      </c>
      <c r="F310" s="66"/>
      <c r="G310" s="66">
        <f>49800</f>
        <v>49800</v>
      </c>
      <c r="H310" s="66">
        <f t="shared" si="18"/>
        <v>49800</v>
      </c>
    </row>
    <row r="311" spans="1:8" ht="75" x14ac:dyDescent="0.2">
      <c r="A311" s="41"/>
      <c r="B311" s="41"/>
      <c r="C311" s="41"/>
      <c r="D311" s="42"/>
      <c r="E311" s="7" t="s">
        <v>468</v>
      </c>
      <c r="F311" s="66">
        <v>198780</v>
      </c>
      <c r="G311" s="66"/>
      <c r="H311" s="66">
        <f t="shared" si="18"/>
        <v>198780</v>
      </c>
    </row>
    <row r="312" spans="1:8" ht="37.5" x14ac:dyDescent="0.2">
      <c r="A312" s="41"/>
      <c r="B312" s="41"/>
      <c r="C312" s="41"/>
      <c r="D312" s="42"/>
      <c r="E312" s="7" t="s">
        <v>449</v>
      </c>
      <c r="F312" s="66">
        <v>267000</v>
      </c>
      <c r="G312" s="66"/>
      <c r="H312" s="66">
        <f t="shared" si="18"/>
        <v>267000</v>
      </c>
    </row>
    <row r="313" spans="1:8" ht="37.5" x14ac:dyDescent="0.2">
      <c r="A313" s="41"/>
      <c r="B313" s="41"/>
      <c r="C313" s="41"/>
      <c r="D313" s="42"/>
      <c r="E313" s="65" t="s">
        <v>409</v>
      </c>
      <c r="F313" s="66">
        <f>162709</f>
        <v>162709</v>
      </c>
      <c r="G313" s="66">
        <f>-159002</f>
        <v>-159002</v>
      </c>
      <c r="H313" s="66">
        <f t="shared" si="18"/>
        <v>3707</v>
      </c>
    </row>
    <row r="314" spans="1:8" x14ac:dyDescent="0.2">
      <c r="A314" s="41" t="s">
        <v>185</v>
      </c>
      <c r="B314" s="41" t="s">
        <v>35</v>
      </c>
      <c r="C314" s="41" t="s">
        <v>36</v>
      </c>
      <c r="D314" s="42" t="s">
        <v>37</v>
      </c>
      <c r="E314" s="65"/>
      <c r="F314" s="66">
        <f>SUM(F315:F317)</f>
        <v>543029</v>
      </c>
      <c r="G314" s="66">
        <f>SUM(G315:G317)</f>
        <v>0</v>
      </c>
      <c r="H314" s="66">
        <f t="shared" si="18"/>
        <v>543029</v>
      </c>
    </row>
    <row r="315" spans="1:8" x14ac:dyDescent="0.2">
      <c r="A315" s="41"/>
      <c r="B315" s="41"/>
      <c r="C315" s="41"/>
      <c r="D315" s="41"/>
      <c r="E315" s="65" t="s">
        <v>37</v>
      </c>
      <c r="F315" s="66">
        <v>32144</v>
      </c>
      <c r="G315" s="66"/>
      <c r="H315" s="66">
        <f t="shared" si="18"/>
        <v>32144</v>
      </c>
    </row>
    <row r="316" spans="1:8" ht="37.5" x14ac:dyDescent="0.2">
      <c r="A316" s="41"/>
      <c r="B316" s="41"/>
      <c r="C316" s="41"/>
      <c r="D316" s="41"/>
      <c r="E316" s="65" t="s">
        <v>442</v>
      </c>
      <c r="F316" s="66">
        <v>465945</v>
      </c>
      <c r="G316" s="66"/>
      <c r="H316" s="66">
        <f t="shared" si="18"/>
        <v>465945</v>
      </c>
    </row>
    <row r="317" spans="1:8" ht="37.5" x14ac:dyDescent="0.2">
      <c r="A317" s="41"/>
      <c r="B317" s="41"/>
      <c r="C317" s="41"/>
      <c r="D317" s="41"/>
      <c r="E317" s="65" t="s">
        <v>341</v>
      </c>
      <c r="F317" s="66">
        <v>44940</v>
      </c>
      <c r="G317" s="66"/>
      <c r="H317" s="66">
        <f t="shared" si="18"/>
        <v>44940</v>
      </c>
    </row>
    <row r="318" spans="1:8" ht="37.5" x14ac:dyDescent="0.2">
      <c r="A318" s="41" t="s">
        <v>172</v>
      </c>
      <c r="B318" s="41" t="s">
        <v>173</v>
      </c>
      <c r="C318" s="41" t="s">
        <v>51</v>
      </c>
      <c r="D318" s="41" t="s">
        <v>174</v>
      </c>
      <c r="E318" s="67"/>
      <c r="F318" s="66">
        <f>SUM(F319)</f>
        <v>3000000</v>
      </c>
      <c r="G318" s="66">
        <f>SUM(G319)</f>
        <v>0</v>
      </c>
      <c r="H318" s="66">
        <f t="shared" si="18"/>
        <v>3000000</v>
      </c>
    </row>
    <row r="319" spans="1:8" ht="56.25" x14ac:dyDescent="0.2">
      <c r="A319" s="41"/>
      <c r="B319" s="41"/>
      <c r="C319" s="41"/>
      <c r="D319" s="42"/>
      <c r="E319" s="67" t="s">
        <v>175</v>
      </c>
      <c r="F319" s="66">
        <v>3000000</v>
      </c>
      <c r="G319" s="66"/>
      <c r="H319" s="66">
        <f t="shared" si="18"/>
        <v>3000000</v>
      </c>
    </row>
    <row r="320" spans="1:8" ht="37.5" x14ac:dyDescent="0.2">
      <c r="A320" s="41" t="s">
        <v>369</v>
      </c>
      <c r="B320" s="41" t="s">
        <v>25</v>
      </c>
      <c r="C320" s="41" t="s">
        <v>26</v>
      </c>
      <c r="D320" s="42" t="s">
        <v>22</v>
      </c>
      <c r="E320" s="28"/>
      <c r="F320" s="44">
        <f>SUM(F321:F324)</f>
        <v>2472877</v>
      </c>
      <c r="G320" s="44">
        <f>SUM(G321:G324)</f>
        <v>0</v>
      </c>
      <c r="H320" s="44">
        <f t="shared" si="18"/>
        <v>2472877</v>
      </c>
    </row>
    <row r="321" spans="1:8" ht="56.25" x14ac:dyDescent="0.2">
      <c r="A321" s="41"/>
      <c r="B321" s="41"/>
      <c r="C321" s="41"/>
      <c r="D321" s="42"/>
      <c r="E321" s="9" t="s">
        <v>469</v>
      </c>
      <c r="F321" s="44">
        <v>293000</v>
      </c>
      <c r="G321" s="44"/>
      <c r="H321" s="44">
        <f t="shared" si="18"/>
        <v>293000</v>
      </c>
    </row>
    <row r="322" spans="1:8" ht="37.5" x14ac:dyDescent="0.2">
      <c r="A322" s="41"/>
      <c r="B322" s="61"/>
      <c r="C322" s="61"/>
      <c r="D322" s="42"/>
      <c r="E322" s="7" t="s">
        <v>346</v>
      </c>
      <c r="F322" s="66">
        <v>1040600</v>
      </c>
      <c r="G322" s="66"/>
      <c r="H322" s="66">
        <f t="shared" si="18"/>
        <v>1040600</v>
      </c>
    </row>
    <row r="323" spans="1:8" ht="37.5" x14ac:dyDescent="0.2">
      <c r="A323" s="41"/>
      <c r="B323" s="61"/>
      <c r="C323" s="61"/>
      <c r="D323" s="42"/>
      <c r="E323" s="7" t="s">
        <v>347</v>
      </c>
      <c r="F323" s="66">
        <v>542300</v>
      </c>
      <c r="G323" s="66"/>
      <c r="H323" s="66">
        <f t="shared" si="18"/>
        <v>542300</v>
      </c>
    </row>
    <row r="324" spans="1:8" x14ac:dyDescent="0.2">
      <c r="A324" s="41"/>
      <c r="B324" s="61"/>
      <c r="C324" s="61"/>
      <c r="D324" s="42"/>
      <c r="E324" s="7" t="s">
        <v>443</v>
      </c>
      <c r="F324" s="66">
        <v>596977</v>
      </c>
      <c r="G324" s="66"/>
      <c r="H324" s="66">
        <f t="shared" si="18"/>
        <v>596977</v>
      </c>
    </row>
    <row r="325" spans="1:8" x14ac:dyDescent="0.2">
      <c r="A325" s="41" t="s">
        <v>342</v>
      </c>
      <c r="B325" s="41" t="s">
        <v>343</v>
      </c>
      <c r="C325" s="41" t="s">
        <v>9</v>
      </c>
      <c r="D325" s="41" t="s">
        <v>344</v>
      </c>
      <c r="E325" s="67"/>
      <c r="F325" s="66">
        <f>SUM(F326)</f>
        <v>42916</v>
      </c>
      <c r="G325" s="66">
        <f>SUM(G326)</f>
        <v>0</v>
      </c>
      <c r="H325" s="66">
        <f t="shared" ref="H325:H328" si="19">F325+G325</f>
        <v>42916</v>
      </c>
    </row>
    <row r="326" spans="1:8" ht="75" x14ac:dyDescent="0.2">
      <c r="A326" s="41"/>
      <c r="B326" s="41"/>
      <c r="C326" s="41"/>
      <c r="D326" s="42"/>
      <c r="E326" s="65" t="s">
        <v>345</v>
      </c>
      <c r="F326" s="66">
        <f>42916</f>
        <v>42916</v>
      </c>
      <c r="G326" s="66"/>
      <c r="H326" s="66">
        <f t="shared" si="19"/>
        <v>42916</v>
      </c>
    </row>
    <row r="327" spans="1:8" x14ac:dyDescent="0.2">
      <c r="A327" s="41" t="s">
        <v>470</v>
      </c>
      <c r="B327" s="41" t="s">
        <v>471</v>
      </c>
      <c r="C327" s="41" t="s">
        <v>472</v>
      </c>
      <c r="D327" s="41" t="s">
        <v>473</v>
      </c>
      <c r="E327" s="65"/>
      <c r="F327" s="66">
        <f>F328</f>
        <v>30450</v>
      </c>
      <c r="G327" s="56">
        <f>G328</f>
        <v>171790</v>
      </c>
      <c r="H327" s="56">
        <f t="shared" si="19"/>
        <v>202240</v>
      </c>
    </row>
    <row r="328" spans="1:8" ht="37.5" x14ac:dyDescent="0.2">
      <c r="A328" s="41"/>
      <c r="B328" s="41"/>
      <c r="C328" s="41"/>
      <c r="D328" s="42"/>
      <c r="E328" s="65" t="s">
        <v>520</v>
      </c>
      <c r="F328" s="66">
        <v>30450</v>
      </c>
      <c r="G328" s="66">
        <f>91900+79890</f>
        <v>171790</v>
      </c>
      <c r="H328" s="66">
        <f t="shared" si="19"/>
        <v>202240</v>
      </c>
    </row>
    <row r="329" spans="1:8" ht="37.5" x14ac:dyDescent="0.2">
      <c r="A329" s="33" t="s">
        <v>137</v>
      </c>
      <c r="B329" s="33"/>
      <c r="C329" s="33"/>
      <c r="D329" s="29" t="s">
        <v>138</v>
      </c>
      <c r="E329" s="8"/>
      <c r="F329" s="51">
        <f>F331+F336+F341+F343+F347+F356+F359+F351+F353+F349</f>
        <v>14838346</v>
      </c>
      <c r="G329" s="51">
        <f>G331+G336+G341+G343+G347+G356+G359+G351+G353+G349</f>
        <v>1863410</v>
      </c>
      <c r="H329" s="51">
        <f t="shared" si="18"/>
        <v>16701756</v>
      </c>
    </row>
    <row r="330" spans="1:8" ht="37.5" x14ac:dyDescent="0.2">
      <c r="A330" s="33" t="s">
        <v>139</v>
      </c>
      <c r="B330" s="33"/>
      <c r="C330" s="33"/>
      <c r="D330" s="37" t="s">
        <v>138</v>
      </c>
      <c r="E330" s="8"/>
      <c r="F330" s="66"/>
      <c r="G330" s="66"/>
      <c r="H330" s="66">
        <f t="shared" si="18"/>
        <v>0</v>
      </c>
    </row>
    <row r="331" spans="1:8" x14ac:dyDescent="0.2">
      <c r="A331" s="41" t="s">
        <v>142</v>
      </c>
      <c r="B331" s="41" t="s">
        <v>96</v>
      </c>
      <c r="C331" s="41" t="s">
        <v>97</v>
      </c>
      <c r="D331" s="42" t="s">
        <v>83</v>
      </c>
      <c r="E331" s="8"/>
      <c r="F331" s="56">
        <f>SUM(F332:F335)</f>
        <v>3031764</v>
      </c>
      <c r="G331" s="56">
        <f>SUM(G332:G335)</f>
        <v>199760</v>
      </c>
      <c r="H331" s="56">
        <f t="shared" si="18"/>
        <v>3231524</v>
      </c>
    </row>
    <row r="332" spans="1:8" x14ac:dyDescent="0.2">
      <c r="A332" s="33"/>
      <c r="B332" s="33"/>
      <c r="C332" s="33"/>
      <c r="D332" s="37"/>
      <c r="E332" s="65" t="s">
        <v>195</v>
      </c>
      <c r="F332" s="66">
        <v>2763538</v>
      </c>
      <c r="G332" s="66">
        <f>92000+7760+100000</f>
        <v>199760</v>
      </c>
      <c r="H332" s="66">
        <f t="shared" si="18"/>
        <v>2963298</v>
      </c>
    </row>
    <row r="333" spans="1:8" x14ac:dyDescent="0.2">
      <c r="A333" s="33"/>
      <c r="B333" s="33"/>
      <c r="C333" s="33"/>
      <c r="D333" s="37"/>
      <c r="E333" s="83" t="s">
        <v>361</v>
      </c>
      <c r="F333" s="66">
        <v>52229</v>
      </c>
      <c r="G333" s="66"/>
      <c r="H333" s="66">
        <f t="shared" si="18"/>
        <v>52229</v>
      </c>
    </row>
    <row r="334" spans="1:8" ht="37.5" x14ac:dyDescent="0.2">
      <c r="A334" s="33"/>
      <c r="B334" s="33"/>
      <c r="C334" s="33"/>
      <c r="D334" s="37"/>
      <c r="E334" s="83" t="s">
        <v>275</v>
      </c>
      <c r="F334" s="66">
        <v>199997</v>
      </c>
      <c r="G334" s="66"/>
      <c r="H334" s="66">
        <f t="shared" si="18"/>
        <v>199997</v>
      </c>
    </row>
    <row r="335" spans="1:8" ht="37.5" x14ac:dyDescent="0.2">
      <c r="A335" s="61"/>
      <c r="B335" s="61"/>
      <c r="C335" s="61"/>
      <c r="D335" s="61"/>
      <c r="E335" s="83" t="s">
        <v>276</v>
      </c>
      <c r="F335" s="66">
        <v>16000</v>
      </c>
      <c r="G335" s="66"/>
      <c r="H335" s="66">
        <f t="shared" si="18"/>
        <v>16000</v>
      </c>
    </row>
    <row r="336" spans="1:8" ht="75" x14ac:dyDescent="0.2">
      <c r="A336" s="41" t="s">
        <v>143</v>
      </c>
      <c r="B336" s="41" t="s">
        <v>50</v>
      </c>
      <c r="C336" s="41" t="s">
        <v>144</v>
      </c>
      <c r="D336" s="42" t="s">
        <v>252</v>
      </c>
      <c r="E336" s="8"/>
      <c r="F336" s="56">
        <f>SUM(F337:F340)</f>
        <v>9616769</v>
      </c>
      <c r="G336" s="56">
        <f>SUM(G337:G340)</f>
        <v>1286828</v>
      </c>
      <c r="H336" s="56">
        <f t="shared" si="18"/>
        <v>10903597</v>
      </c>
    </row>
    <row r="337" spans="1:8" x14ac:dyDescent="0.2">
      <c r="A337" s="33"/>
      <c r="B337" s="33"/>
      <c r="C337" s="33"/>
      <c r="D337" s="37"/>
      <c r="E337" s="65" t="s">
        <v>195</v>
      </c>
      <c r="F337" s="66">
        <v>7841265</v>
      </c>
      <c r="G337" s="66">
        <f>1278628+8200</f>
        <v>1286828</v>
      </c>
      <c r="H337" s="66">
        <f t="shared" si="18"/>
        <v>9128093</v>
      </c>
    </row>
    <row r="338" spans="1:8" ht="37.5" x14ac:dyDescent="0.2">
      <c r="A338" s="33"/>
      <c r="B338" s="33"/>
      <c r="C338" s="33"/>
      <c r="D338" s="37"/>
      <c r="E338" s="83" t="s">
        <v>275</v>
      </c>
      <c r="F338" s="66">
        <v>1648408</v>
      </c>
      <c r="G338" s="66"/>
      <c r="H338" s="66">
        <f t="shared" si="18"/>
        <v>1648408</v>
      </c>
    </row>
    <row r="339" spans="1:8" x14ac:dyDescent="0.2">
      <c r="A339" s="33"/>
      <c r="B339" s="33"/>
      <c r="C339" s="33"/>
      <c r="D339" s="37"/>
      <c r="E339" s="83" t="s">
        <v>361</v>
      </c>
      <c r="F339" s="66">
        <v>48770</v>
      </c>
      <c r="G339" s="66"/>
      <c r="H339" s="66">
        <f t="shared" si="18"/>
        <v>48770</v>
      </c>
    </row>
    <row r="340" spans="1:8" ht="37.5" x14ac:dyDescent="0.2">
      <c r="A340" s="61"/>
      <c r="B340" s="61"/>
      <c r="C340" s="61"/>
      <c r="D340" s="61"/>
      <c r="E340" s="83" t="s">
        <v>276</v>
      </c>
      <c r="F340" s="66">
        <v>78326</v>
      </c>
      <c r="G340" s="66"/>
      <c r="H340" s="66">
        <f t="shared" si="18"/>
        <v>78326</v>
      </c>
    </row>
    <row r="341" spans="1:8" ht="75" x14ac:dyDescent="0.2">
      <c r="A341" s="41" t="s">
        <v>145</v>
      </c>
      <c r="B341" s="41" t="s">
        <v>146</v>
      </c>
      <c r="C341" s="41" t="s">
        <v>147</v>
      </c>
      <c r="D341" s="42" t="s">
        <v>253</v>
      </c>
      <c r="E341" s="8"/>
      <c r="F341" s="56">
        <f>SUM(F342:F342)</f>
        <v>256021</v>
      </c>
      <c r="G341" s="56">
        <f>SUM(G342:G342)</f>
        <v>10000</v>
      </c>
      <c r="H341" s="56">
        <f t="shared" si="18"/>
        <v>266021</v>
      </c>
    </row>
    <row r="342" spans="1:8" x14ac:dyDescent="0.2">
      <c r="A342" s="33"/>
      <c r="B342" s="33"/>
      <c r="C342" s="33"/>
      <c r="D342" s="37"/>
      <c r="E342" s="65" t="s">
        <v>195</v>
      </c>
      <c r="F342" s="66">
        <v>256021</v>
      </c>
      <c r="G342" s="66">
        <f>10000</f>
        <v>10000</v>
      </c>
      <c r="H342" s="66">
        <f t="shared" si="18"/>
        <v>266021</v>
      </c>
    </row>
    <row r="343" spans="1:8" ht="56.25" x14ac:dyDescent="0.2">
      <c r="A343" s="41" t="s">
        <v>148</v>
      </c>
      <c r="B343" s="41" t="s">
        <v>52</v>
      </c>
      <c r="C343" s="41" t="s">
        <v>14</v>
      </c>
      <c r="D343" s="42" t="s">
        <v>254</v>
      </c>
      <c r="E343" s="8"/>
      <c r="F343" s="56">
        <f>SUM(F344:F346)</f>
        <v>619557</v>
      </c>
      <c r="G343" s="56">
        <f>SUM(G344:G346)</f>
        <v>8000</v>
      </c>
      <c r="H343" s="56">
        <f t="shared" si="18"/>
        <v>627557</v>
      </c>
    </row>
    <row r="344" spans="1:8" x14ac:dyDescent="0.2">
      <c r="A344" s="33"/>
      <c r="B344" s="33"/>
      <c r="C344" s="33"/>
      <c r="D344" s="37"/>
      <c r="E344" s="65" t="s">
        <v>195</v>
      </c>
      <c r="F344" s="66">
        <v>516600</v>
      </c>
      <c r="G344" s="66"/>
      <c r="H344" s="66">
        <f t="shared" si="18"/>
        <v>516600</v>
      </c>
    </row>
    <row r="345" spans="1:8" x14ac:dyDescent="0.2">
      <c r="A345" s="33"/>
      <c r="B345" s="33"/>
      <c r="C345" s="33"/>
      <c r="D345" s="37"/>
      <c r="E345" s="83" t="s">
        <v>361</v>
      </c>
      <c r="F345" s="66">
        <v>28957</v>
      </c>
      <c r="G345" s="66">
        <f>8000</f>
        <v>8000</v>
      </c>
      <c r="H345" s="66">
        <f t="shared" si="18"/>
        <v>36957</v>
      </c>
    </row>
    <row r="346" spans="1:8" ht="37.5" x14ac:dyDescent="0.2">
      <c r="A346" s="61"/>
      <c r="B346" s="61"/>
      <c r="C346" s="61"/>
      <c r="D346" s="61"/>
      <c r="E346" s="83" t="s">
        <v>276</v>
      </c>
      <c r="F346" s="66">
        <v>74000</v>
      </c>
      <c r="G346" s="66"/>
      <c r="H346" s="66">
        <f t="shared" si="18"/>
        <v>74000</v>
      </c>
    </row>
    <row r="347" spans="1:8" ht="56.25" x14ac:dyDescent="0.2">
      <c r="A347" s="41" t="s">
        <v>149</v>
      </c>
      <c r="B347" s="41" t="s">
        <v>150</v>
      </c>
      <c r="C347" s="41" t="s">
        <v>151</v>
      </c>
      <c r="D347" s="42" t="s">
        <v>255</v>
      </c>
      <c r="E347" s="8"/>
      <c r="F347" s="56">
        <f>SUM(F348:F348)</f>
        <v>100000</v>
      </c>
      <c r="G347" s="56">
        <f>SUM(G348:G348)</f>
        <v>201040</v>
      </c>
      <c r="H347" s="56">
        <f t="shared" si="18"/>
        <v>301040</v>
      </c>
    </row>
    <row r="348" spans="1:8" x14ac:dyDescent="0.2">
      <c r="A348" s="33"/>
      <c r="B348" s="33"/>
      <c r="C348" s="33"/>
      <c r="D348" s="37"/>
      <c r="E348" s="65" t="s">
        <v>195</v>
      </c>
      <c r="F348" s="66">
        <v>100000</v>
      </c>
      <c r="G348" s="66">
        <f>201040</f>
        <v>201040</v>
      </c>
      <c r="H348" s="66">
        <f t="shared" si="18"/>
        <v>301040</v>
      </c>
    </row>
    <row r="349" spans="1:8" ht="37.5" x14ac:dyDescent="0.2">
      <c r="A349" s="120" t="s">
        <v>214</v>
      </c>
      <c r="B349" s="41" t="s">
        <v>213</v>
      </c>
      <c r="C349" s="41" t="s">
        <v>193</v>
      </c>
      <c r="D349" s="42" t="s">
        <v>256</v>
      </c>
      <c r="E349" s="65"/>
      <c r="F349" s="56">
        <f>SUM(F350:F350)</f>
        <v>100000</v>
      </c>
      <c r="G349" s="56">
        <f>SUM(G350:G350)</f>
        <v>0</v>
      </c>
      <c r="H349" s="56">
        <f t="shared" si="18"/>
        <v>100000</v>
      </c>
    </row>
    <row r="350" spans="1:8" x14ac:dyDescent="0.2">
      <c r="A350" s="33"/>
      <c r="B350" s="33"/>
      <c r="C350" s="33"/>
      <c r="D350" s="37"/>
      <c r="E350" s="65" t="s">
        <v>195</v>
      </c>
      <c r="F350" s="66">
        <v>100000</v>
      </c>
      <c r="G350" s="66"/>
      <c r="H350" s="66">
        <f t="shared" si="18"/>
        <v>100000</v>
      </c>
    </row>
    <row r="351" spans="1:8" ht="37.5" x14ac:dyDescent="0.2">
      <c r="A351" s="120" t="s">
        <v>191</v>
      </c>
      <c r="B351" s="54" t="s">
        <v>192</v>
      </c>
      <c r="C351" s="54" t="s">
        <v>193</v>
      </c>
      <c r="D351" s="121" t="s">
        <v>194</v>
      </c>
      <c r="E351" s="8"/>
      <c r="F351" s="56">
        <f>SUM(F352:F352)</f>
        <v>100000</v>
      </c>
      <c r="G351" s="56">
        <f>SUM(G352:G352)</f>
        <v>0</v>
      </c>
      <c r="H351" s="56">
        <f t="shared" si="18"/>
        <v>100000</v>
      </c>
    </row>
    <row r="352" spans="1:8" x14ac:dyDescent="0.2">
      <c r="A352" s="33"/>
      <c r="B352" s="33"/>
      <c r="C352" s="33"/>
      <c r="D352" s="37"/>
      <c r="E352" s="65" t="s">
        <v>195</v>
      </c>
      <c r="F352" s="66">
        <v>100000</v>
      </c>
      <c r="G352" s="66"/>
      <c r="H352" s="66">
        <f t="shared" si="18"/>
        <v>100000</v>
      </c>
    </row>
    <row r="353" spans="1:19" x14ac:dyDescent="0.2">
      <c r="A353" s="120" t="s">
        <v>212</v>
      </c>
      <c r="B353" s="54" t="s">
        <v>210</v>
      </c>
      <c r="C353" s="54" t="s">
        <v>193</v>
      </c>
      <c r="D353" s="121" t="s">
        <v>211</v>
      </c>
      <c r="E353" s="8"/>
      <c r="F353" s="56">
        <f>SUM(F354:F355)</f>
        <v>472489</v>
      </c>
      <c r="G353" s="56">
        <f>SUM(G354:G355)</f>
        <v>0</v>
      </c>
      <c r="H353" s="56">
        <f t="shared" si="18"/>
        <v>472489</v>
      </c>
    </row>
    <row r="354" spans="1:19" x14ac:dyDescent="0.2">
      <c r="A354" s="33"/>
      <c r="B354" s="33"/>
      <c r="C354" s="33"/>
      <c r="D354" s="37"/>
      <c r="E354" s="65" t="s">
        <v>195</v>
      </c>
      <c r="F354" s="66">
        <v>28223</v>
      </c>
      <c r="G354" s="66"/>
      <c r="H354" s="66">
        <f t="shared" si="18"/>
        <v>28223</v>
      </c>
    </row>
    <row r="355" spans="1:19" ht="37.5" x14ac:dyDescent="0.2">
      <c r="A355" s="33"/>
      <c r="B355" s="33"/>
      <c r="C355" s="33"/>
      <c r="D355" s="37"/>
      <c r="E355" s="83" t="s">
        <v>275</v>
      </c>
      <c r="F355" s="66">
        <v>444266</v>
      </c>
      <c r="G355" s="66"/>
      <c r="H355" s="66">
        <f t="shared" si="18"/>
        <v>444266</v>
      </c>
    </row>
    <row r="356" spans="1:19" ht="37.5" x14ac:dyDescent="0.2">
      <c r="A356" s="54" t="s">
        <v>152</v>
      </c>
      <c r="B356" s="54" t="s">
        <v>153</v>
      </c>
      <c r="C356" s="54" t="s">
        <v>154</v>
      </c>
      <c r="D356" s="55" t="s">
        <v>155</v>
      </c>
      <c r="E356" s="8"/>
      <c r="F356" s="56">
        <f>SUM(F357:F358)</f>
        <v>236908</v>
      </c>
      <c r="G356" s="56">
        <f>SUM(G357:G358)</f>
        <v>157782</v>
      </c>
      <c r="H356" s="56">
        <f t="shared" si="18"/>
        <v>394690</v>
      </c>
    </row>
    <row r="357" spans="1:19" x14ac:dyDescent="0.2">
      <c r="A357" s="33"/>
      <c r="B357" s="33"/>
      <c r="C357" s="33"/>
      <c r="D357" s="37"/>
      <c r="E357" s="65" t="s">
        <v>195</v>
      </c>
      <c r="F357" s="66">
        <v>229908</v>
      </c>
      <c r="G357" s="66">
        <f>157782</f>
        <v>157782</v>
      </c>
      <c r="H357" s="66">
        <f t="shared" si="18"/>
        <v>387690</v>
      </c>
    </row>
    <row r="358" spans="1:19" x14ac:dyDescent="0.2">
      <c r="A358" s="33"/>
      <c r="B358" s="33"/>
      <c r="C358" s="33"/>
      <c r="D358" s="37"/>
      <c r="E358" s="83" t="s">
        <v>361</v>
      </c>
      <c r="F358" s="66">
        <v>7000</v>
      </c>
      <c r="G358" s="66"/>
      <c r="H358" s="66">
        <f t="shared" si="18"/>
        <v>7000</v>
      </c>
    </row>
    <row r="359" spans="1:19" ht="56.25" x14ac:dyDescent="0.2">
      <c r="A359" s="54" t="s">
        <v>156</v>
      </c>
      <c r="B359" s="54" t="s">
        <v>157</v>
      </c>
      <c r="C359" s="54" t="s">
        <v>113</v>
      </c>
      <c r="D359" s="55" t="s">
        <v>158</v>
      </c>
      <c r="E359" s="8"/>
      <c r="F359" s="56">
        <f>SUM(F360:F360)</f>
        <v>304838</v>
      </c>
      <c r="G359" s="56">
        <f>SUM(G360:G360)</f>
        <v>0</v>
      </c>
      <c r="H359" s="56">
        <f t="shared" si="18"/>
        <v>304838</v>
      </c>
    </row>
    <row r="360" spans="1:19" x14ac:dyDescent="0.2">
      <c r="A360" s="33"/>
      <c r="B360" s="33"/>
      <c r="C360" s="33"/>
      <c r="D360" s="37"/>
      <c r="E360" s="65" t="s">
        <v>195</v>
      </c>
      <c r="F360" s="66">
        <v>304838</v>
      </c>
      <c r="G360" s="66"/>
      <c r="H360" s="66">
        <f t="shared" si="18"/>
        <v>304838</v>
      </c>
    </row>
    <row r="361" spans="1:19" s="53" customFormat="1" x14ac:dyDescent="0.2">
      <c r="A361" s="47" t="s">
        <v>59</v>
      </c>
      <c r="B361" s="47"/>
      <c r="C361" s="47"/>
      <c r="D361" s="47" t="s">
        <v>60</v>
      </c>
      <c r="E361" s="37"/>
      <c r="F361" s="51">
        <f>F363+F367+F369+F371+F373</f>
        <v>24498417</v>
      </c>
      <c r="G361" s="51">
        <f>G363+G367+G369+G371+G373</f>
        <v>-11425848</v>
      </c>
      <c r="H361" s="51">
        <f t="shared" si="18"/>
        <v>13072569</v>
      </c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</row>
    <row r="362" spans="1:19" s="53" customFormat="1" x14ac:dyDescent="0.2">
      <c r="A362" s="47" t="s">
        <v>61</v>
      </c>
      <c r="B362" s="47"/>
      <c r="C362" s="47"/>
      <c r="D362" s="50" t="s">
        <v>60</v>
      </c>
      <c r="E362" s="37"/>
      <c r="F362" s="51"/>
      <c r="G362" s="51"/>
      <c r="H362" s="51">
        <f t="shared" si="18"/>
        <v>0</v>
      </c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</row>
    <row r="363" spans="1:19" s="87" customFormat="1" ht="37.5" x14ac:dyDescent="0.2">
      <c r="A363" s="54" t="s">
        <v>62</v>
      </c>
      <c r="B363" s="54" t="s">
        <v>63</v>
      </c>
      <c r="C363" s="54" t="s">
        <v>64</v>
      </c>
      <c r="D363" s="55" t="s">
        <v>65</v>
      </c>
      <c r="E363" s="83"/>
      <c r="F363" s="56">
        <f>SUM(F364:F366)</f>
        <v>12889899</v>
      </c>
      <c r="G363" s="56">
        <f>SUM(G364:G366)</f>
        <v>-3140000</v>
      </c>
      <c r="H363" s="56">
        <f t="shared" si="18"/>
        <v>9749899</v>
      </c>
      <c r="I363" s="86"/>
      <c r="J363" s="86"/>
      <c r="K363" s="86"/>
      <c r="L363" s="86"/>
      <c r="M363" s="86"/>
      <c r="N363" s="86"/>
      <c r="O363" s="86"/>
      <c r="P363" s="86"/>
      <c r="Q363" s="86"/>
      <c r="R363" s="86"/>
      <c r="S363" s="86"/>
    </row>
    <row r="364" spans="1:19" ht="37.5" x14ac:dyDescent="0.2">
      <c r="A364" s="61"/>
      <c r="B364" s="61"/>
      <c r="C364" s="61"/>
      <c r="D364" s="61"/>
      <c r="E364" s="65" t="s">
        <v>196</v>
      </c>
      <c r="F364" s="66">
        <v>9643739</v>
      </c>
      <c r="G364" s="66">
        <f>-3140000</f>
        <v>-3140000</v>
      </c>
      <c r="H364" s="66">
        <f t="shared" si="18"/>
        <v>6503739</v>
      </c>
    </row>
    <row r="365" spans="1:19" ht="75" x14ac:dyDescent="0.2">
      <c r="A365" s="61"/>
      <c r="B365" s="61"/>
      <c r="C365" s="61"/>
      <c r="D365" s="61"/>
      <c r="E365" s="65" t="s">
        <v>447</v>
      </c>
      <c r="F365" s="66">
        <v>3100160</v>
      </c>
      <c r="G365" s="66"/>
      <c r="H365" s="66">
        <f t="shared" si="18"/>
        <v>3100160</v>
      </c>
    </row>
    <row r="366" spans="1:19" x14ac:dyDescent="0.2">
      <c r="A366" s="33"/>
      <c r="B366" s="33"/>
      <c r="C366" s="33"/>
      <c r="D366" s="37"/>
      <c r="E366" s="83" t="s">
        <v>361</v>
      </c>
      <c r="F366" s="66">
        <v>146000</v>
      </c>
      <c r="G366" s="66"/>
      <c r="H366" s="66">
        <f t="shared" si="18"/>
        <v>146000</v>
      </c>
    </row>
    <row r="367" spans="1:19" ht="37.5" x14ac:dyDescent="0.2">
      <c r="A367" s="54" t="s">
        <v>66</v>
      </c>
      <c r="B367" s="54" t="s">
        <v>67</v>
      </c>
      <c r="C367" s="54" t="s">
        <v>68</v>
      </c>
      <c r="D367" s="55" t="s">
        <v>69</v>
      </c>
      <c r="E367" s="8"/>
      <c r="F367" s="56">
        <f>SUM(F368:F368)</f>
        <v>778901</v>
      </c>
      <c r="G367" s="56">
        <f>SUM(G368:G368)</f>
        <v>0</v>
      </c>
      <c r="H367" s="56">
        <f t="shared" si="18"/>
        <v>778901</v>
      </c>
    </row>
    <row r="368" spans="1:19" ht="37.5" x14ac:dyDescent="0.2">
      <c r="A368" s="61"/>
      <c r="B368" s="61"/>
      <c r="C368" s="61"/>
      <c r="D368" s="61"/>
      <c r="E368" s="65" t="s">
        <v>196</v>
      </c>
      <c r="F368" s="66">
        <v>778901</v>
      </c>
      <c r="G368" s="66"/>
      <c r="H368" s="66">
        <f t="shared" si="18"/>
        <v>778901</v>
      </c>
    </row>
    <row r="369" spans="1:19" s="87" customFormat="1" ht="37.5" x14ac:dyDescent="0.2">
      <c r="A369" s="54" t="s">
        <v>70</v>
      </c>
      <c r="B369" s="54" t="s">
        <v>71</v>
      </c>
      <c r="C369" s="54" t="s">
        <v>72</v>
      </c>
      <c r="D369" s="55" t="s">
        <v>73</v>
      </c>
      <c r="E369" s="83"/>
      <c r="F369" s="56">
        <f>SUM(F370:F370)</f>
        <v>889152</v>
      </c>
      <c r="G369" s="56">
        <f>SUM(G370:G370)</f>
        <v>-285848</v>
      </c>
      <c r="H369" s="56">
        <f t="shared" si="18"/>
        <v>603304</v>
      </c>
      <c r="I369" s="86"/>
      <c r="J369" s="86"/>
      <c r="K369" s="86"/>
      <c r="L369" s="86"/>
      <c r="M369" s="86"/>
      <c r="N369" s="86"/>
      <c r="O369" s="86"/>
      <c r="P369" s="86"/>
      <c r="Q369" s="86"/>
      <c r="R369" s="86"/>
      <c r="S369" s="86"/>
    </row>
    <row r="370" spans="1:19" ht="37.5" x14ac:dyDescent="0.2">
      <c r="A370" s="61"/>
      <c r="B370" s="61"/>
      <c r="C370" s="61"/>
      <c r="D370" s="61"/>
      <c r="E370" s="65" t="s">
        <v>196</v>
      </c>
      <c r="F370" s="66">
        <v>889152</v>
      </c>
      <c r="G370" s="66">
        <f>-285848</f>
        <v>-285848</v>
      </c>
      <c r="H370" s="66">
        <f t="shared" si="18"/>
        <v>603304</v>
      </c>
    </row>
    <row r="371" spans="1:19" s="87" customFormat="1" ht="56.25" x14ac:dyDescent="0.2">
      <c r="A371" s="54" t="s">
        <v>260</v>
      </c>
      <c r="B371" s="54" t="s">
        <v>261</v>
      </c>
      <c r="C371" s="54" t="s">
        <v>262</v>
      </c>
      <c r="D371" s="112" t="s">
        <v>263</v>
      </c>
      <c r="E371" s="83"/>
      <c r="F371" s="56">
        <f>SUM(F372:F372)</f>
        <v>298465</v>
      </c>
      <c r="G371" s="56">
        <f>SUM(G372:G372)</f>
        <v>0</v>
      </c>
      <c r="H371" s="56">
        <f t="shared" si="18"/>
        <v>298465</v>
      </c>
      <c r="I371" s="86"/>
      <c r="J371" s="86"/>
      <c r="K371" s="86"/>
      <c r="L371" s="86"/>
      <c r="M371" s="86"/>
      <c r="N371" s="86"/>
      <c r="O371" s="86"/>
      <c r="P371" s="86"/>
      <c r="Q371" s="86"/>
      <c r="R371" s="86"/>
      <c r="S371" s="86"/>
    </row>
    <row r="372" spans="1:19" ht="37.5" x14ac:dyDescent="0.2">
      <c r="A372" s="61"/>
      <c r="B372" s="61"/>
      <c r="C372" s="61"/>
      <c r="D372" s="61"/>
      <c r="E372" s="83" t="s">
        <v>275</v>
      </c>
      <c r="F372" s="66">
        <f>298465</f>
        <v>298465</v>
      </c>
      <c r="G372" s="66"/>
      <c r="H372" s="66">
        <f t="shared" si="18"/>
        <v>298465</v>
      </c>
    </row>
    <row r="373" spans="1:19" s="87" customFormat="1" ht="37.5" x14ac:dyDescent="0.2">
      <c r="A373" s="84" t="s">
        <v>433</v>
      </c>
      <c r="B373" s="84" t="s">
        <v>434</v>
      </c>
      <c r="C373" s="84" t="s">
        <v>436</v>
      </c>
      <c r="D373" s="54" t="s">
        <v>435</v>
      </c>
      <c r="E373" s="57"/>
      <c r="F373" s="56">
        <f>SUM(F374:F375)</f>
        <v>9642000</v>
      </c>
      <c r="G373" s="56">
        <f>SUM(G374:G375)</f>
        <v>-8000000</v>
      </c>
      <c r="H373" s="56">
        <f t="shared" si="18"/>
        <v>1642000</v>
      </c>
      <c r="I373" s="86"/>
      <c r="J373" s="86"/>
      <c r="K373" s="86"/>
      <c r="L373" s="86"/>
      <c r="M373" s="86"/>
      <c r="N373" s="86"/>
      <c r="O373" s="86"/>
      <c r="P373" s="86"/>
      <c r="Q373" s="86"/>
      <c r="R373" s="86"/>
      <c r="S373" s="86"/>
    </row>
    <row r="374" spans="1:19" ht="37.5" x14ac:dyDescent="0.2">
      <c r="A374" s="61"/>
      <c r="B374" s="61"/>
      <c r="C374" s="61"/>
      <c r="D374" s="61"/>
      <c r="E374" s="65" t="s">
        <v>196</v>
      </c>
      <c r="F374" s="66">
        <f>8000000</f>
        <v>8000000</v>
      </c>
      <c r="G374" s="66">
        <f>-8000000</f>
        <v>-8000000</v>
      </c>
      <c r="H374" s="66">
        <f t="shared" si="18"/>
        <v>0</v>
      </c>
    </row>
    <row r="375" spans="1:19" ht="56.25" x14ac:dyDescent="0.2">
      <c r="A375" s="61"/>
      <c r="B375" s="61"/>
      <c r="C375" s="61"/>
      <c r="D375" s="61"/>
      <c r="E375" s="65" t="s">
        <v>457</v>
      </c>
      <c r="F375" s="66">
        <f>1642000</f>
        <v>1642000</v>
      </c>
      <c r="G375" s="66"/>
      <c r="H375" s="66">
        <f t="shared" si="18"/>
        <v>1642000</v>
      </c>
    </row>
    <row r="376" spans="1:19" s="53" customFormat="1" ht="37.5" x14ac:dyDescent="0.2">
      <c r="A376" s="33" t="s">
        <v>42</v>
      </c>
      <c r="B376" s="33"/>
      <c r="C376" s="33"/>
      <c r="D376" s="33" t="s">
        <v>43</v>
      </c>
      <c r="E376" s="37"/>
      <c r="F376" s="51">
        <f>F378+F381+F383</f>
        <v>1285174</v>
      </c>
      <c r="G376" s="51">
        <f>G378+G381+G383</f>
        <v>-47084</v>
      </c>
      <c r="H376" s="51">
        <f t="shared" si="18"/>
        <v>1238090</v>
      </c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</row>
    <row r="377" spans="1:19" s="53" customFormat="1" ht="37.5" x14ac:dyDescent="0.2">
      <c r="A377" s="33" t="s">
        <v>44</v>
      </c>
      <c r="B377" s="33"/>
      <c r="C377" s="33"/>
      <c r="D377" s="58" t="s">
        <v>43</v>
      </c>
      <c r="E377" s="37"/>
      <c r="F377" s="51"/>
      <c r="G377" s="51"/>
      <c r="H377" s="51">
        <f t="shared" si="18"/>
        <v>0</v>
      </c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</row>
    <row r="378" spans="1:19" s="87" customFormat="1" ht="56.25" x14ac:dyDescent="0.2">
      <c r="A378" s="41" t="s">
        <v>45</v>
      </c>
      <c r="B378" s="54" t="s">
        <v>4</v>
      </c>
      <c r="C378" s="54" t="s">
        <v>5</v>
      </c>
      <c r="D378" s="55" t="s">
        <v>6</v>
      </c>
      <c r="E378" s="83"/>
      <c r="F378" s="56">
        <f>SUM(F379:F380)</f>
        <v>228755</v>
      </c>
      <c r="G378" s="56">
        <f>SUM(G379:G380)</f>
        <v>-42084</v>
      </c>
      <c r="H378" s="56">
        <f t="shared" si="18"/>
        <v>186671</v>
      </c>
      <c r="I378" s="86"/>
      <c r="J378" s="86"/>
      <c r="K378" s="86"/>
      <c r="L378" s="86"/>
      <c r="M378" s="86"/>
      <c r="N378" s="86"/>
      <c r="O378" s="86"/>
      <c r="P378" s="86"/>
      <c r="Q378" s="86"/>
      <c r="R378" s="86"/>
      <c r="S378" s="86"/>
    </row>
    <row r="379" spans="1:19" x14ac:dyDescent="0.2">
      <c r="A379" s="61"/>
      <c r="B379" s="62"/>
      <c r="C379" s="62"/>
      <c r="D379" s="63"/>
      <c r="E379" s="8" t="s">
        <v>74</v>
      </c>
      <c r="F379" s="66">
        <v>200000</v>
      </c>
      <c r="G379" s="66">
        <f>-42084</f>
        <v>-42084</v>
      </c>
      <c r="H379" s="66">
        <f t="shared" si="18"/>
        <v>157916</v>
      </c>
    </row>
    <row r="380" spans="1:19" ht="37.5" x14ac:dyDescent="0.2">
      <c r="A380" s="61"/>
      <c r="B380" s="61"/>
      <c r="C380" s="61"/>
      <c r="D380" s="61"/>
      <c r="E380" s="83" t="s">
        <v>275</v>
      </c>
      <c r="F380" s="66">
        <f>28755</f>
        <v>28755</v>
      </c>
      <c r="G380" s="66"/>
      <c r="H380" s="66">
        <f t="shared" si="18"/>
        <v>28755</v>
      </c>
    </row>
    <row r="381" spans="1:19" s="87" customFormat="1" ht="37.5" x14ac:dyDescent="0.2">
      <c r="A381" s="41" t="s">
        <v>46</v>
      </c>
      <c r="B381" s="41" t="s">
        <v>47</v>
      </c>
      <c r="C381" s="41" t="s">
        <v>48</v>
      </c>
      <c r="D381" s="42" t="s">
        <v>49</v>
      </c>
      <c r="E381" s="83"/>
      <c r="F381" s="56">
        <f>SUM(F382)</f>
        <v>100000</v>
      </c>
      <c r="G381" s="56">
        <f>SUM(G382)</f>
        <v>0</v>
      </c>
      <c r="H381" s="56">
        <f t="shared" si="18"/>
        <v>100000</v>
      </c>
      <c r="I381" s="86"/>
      <c r="J381" s="86"/>
      <c r="K381" s="86"/>
      <c r="L381" s="86"/>
      <c r="M381" s="86"/>
      <c r="N381" s="86"/>
      <c r="O381" s="86"/>
      <c r="P381" s="86"/>
      <c r="Q381" s="86"/>
      <c r="R381" s="86"/>
      <c r="S381" s="86"/>
    </row>
    <row r="382" spans="1:19" ht="37.5" x14ac:dyDescent="0.2">
      <c r="A382" s="61"/>
      <c r="B382" s="62"/>
      <c r="C382" s="62"/>
      <c r="D382" s="63"/>
      <c r="E382" s="8" t="s">
        <v>75</v>
      </c>
      <c r="F382" s="66">
        <v>100000</v>
      </c>
      <c r="G382" s="66"/>
      <c r="H382" s="66">
        <f t="shared" si="18"/>
        <v>100000</v>
      </c>
    </row>
    <row r="383" spans="1:19" s="87" customFormat="1" ht="37.5" x14ac:dyDescent="0.2">
      <c r="A383" s="41" t="s">
        <v>406</v>
      </c>
      <c r="B383" s="41" t="s">
        <v>407</v>
      </c>
      <c r="C383" s="41" t="s">
        <v>52</v>
      </c>
      <c r="D383" s="42" t="s">
        <v>408</v>
      </c>
      <c r="E383" s="83"/>
      <c r="F383" s="56">
        <f>SUM(F384:F385)</f>
        <v>956419</v>
      </c>
      <c r="G383" s="56">
        <f>SUM(G384:G385)</f>
        <v>-5000</v>
      </c>
      <c r="H383" s="56">
        <f t="shared" si="18"/>
        <v>951419</v>
      </c>
      <c r="I383" s="86"/>
      <c r="J383" s="86"/>
      <c r="K383" s="86"/>
      <c r="L383" s="86"/>
      <c r="M383" s="86"/>
      <c r="N383" s="86"/>
      <c r="O383" s="86"/>
      <c r="P383" s="86"/>
      <c r="Q383" s="86"/>
      <c r="R383" s="86"/>
      <c r="S383" s="86"/>
    </row>
    <row r="384" spans="1:19" ht="37.5" x14ac:dyDescent="0.2">
      <c r="A384" s="61"/>
      <c r="B384" s="62"/>
      <c r="C384" s="62"/>
      <c r="D384" s="63"/>
      <c r="E384" s="65" t="s">
        <v>441</v>
      </c>
      <c r="F384" s="66">
        <v>903372</v>
      </c>
      <c r="G384" s="66">
        <f>-5000</f>
        <v>-5000</v>
      </c>
      <c r="H384" s="66">
        <f t="shared" si="18"/>
        <v>898372</v>
      </c>
    </row>
    <row r="385" spans="1:19" ht="56.25" x14ac:dyDescent="0.2">
      <c r="A385" s="61"/>
      <c r="B385" s="62"/>
      <c r="C385" s="62"/>
      <c r="D385" s="63"/>
      <c r="E385" s="65" t="s">
        <v>458</v>
      </c>
      <c r="F385" s="66">
        <v>53047</v>
      </c>
      <c r="G385" s="66"/>
      <c r="H385" s="66">
        <f t="shared" si="18"/>
        <v>53047</v>
      </c>
    </row>
    <row r="386" spans="1:19" ht="37.5" x14ac:dyDescent="0.2">
      <c r="A386" s="33" t="s">
        <v>162</v>
      </c>
      <c r="B386" s="33"/>
      <c r="C386" s="33"/>
      <c r="D386" s="29" t="s">
        <v>163</v>
      </c>
      <c r="E386" s="8"/>
      <c r="F386" s="51">
        <f>F388</f>
        <v>70000</v>
      </c>
      <c r="G386" s="51">
        <f>G388</f>
        <v>0</v>
      </c>
      <c r="H386" s="51">
        <f t="shared" si="18"/>
        <v>70000</v>
      </c>
    </row>
    <row r="387" spans="1:19" ht="37.5" x14ac:dyDescent="0.2">
      <c r="A387" s="33" t="s">
        <v>164</v>
      </c>
      <c r="B387" s="33"/>
      <c r="C387" s="33"/>
      <c r="D387" s="37" t="s">
        <v>163</v>
      </c>
      <c r="E387" s="8"/>
      <c r="F387" s="66"/>
      <c r="G387" s="66"/>
      <c r="H387" s="66">
        <f t="shared" si="18"/>
        <v>0</v>
      </c>
    </row>
    <row r="388" spans="1:19" ht="56.25" x14ac:dyDescent="0.2">
      <c r="A388" s="41" t="s">
        <v>165</v>
      </c>
      <c r="B388" s="54" t="s">
        <v>4</v>
      </c>
      <c r="C388" s="54" t="s">
        <v>5</v>
      </c>
      <c r="D388" s="55" t="s">
        <v>6</v>
      </c>
      <c r="E388" s="8"/>
      <c r="F388" s="56">
        <f>SUM(F389)</f>
        <v>70000</v>
      </c>
      <c r="G388" s="56">
        <f>SUM(G389)</f>
        <v>0</v>
      </c>
      <c r="H388" s="56">
        <f t="shared" si="18"/>
        <v>70000</v>
      </c>
    </row>
    <row r="389" spans="1:19" ht="37.5" x14ac:dyDescent="0.2">
      <c r="A389" s="61"/>
      <c r="B389" s="61"/>
      <c r="C389" s="61"/>
      <c r="D389" s="61"/>
      <c r="E389" s="8" t="s">
        <v>53</v>
      </c>
      <c r="F389" s="66">
        <v>70000</v>
      </c>
      <c r="G389" s="66"/>
      <c r="H389" s="66">
        <f t="shared" si="18"/>
        <v>70000</v>
      </c>
    </row>
    <row r="390" spans="1:19" s="53" customFormat="1" ht="37.5" x14ac:dyDescent="0.2">
      <c r="A390" s="29">
        <v>1000000</v>
      </c>
      <c r="B390" s="33"/>
      <c r="C390" s="33"/>
      <c r="D390" s="33" t="s">
        <v>11</v>
      </c>
      <c r="E390" s="37"/>
      <c r="F390" s="51">
        <f>F392+F394+F401+F397+F404</f>
        <v>1752117</v>
      </c>
      <c r="G390" s="51">
        <f>G392+G394+G401+G397+G404</f>
        <v>0</v>
      </c>
      <c r="H390" s="51">
        <f t="shared" si="18"/>
        <v>1752117</v>
      </c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</row>
    <row r="391" spans="1:19" s="53" customFormat="1" ht="37.5" x14ac:dyDescent="0.2">
      <c r="A391" s="29">
        <v>1010000</v>
      </c>
      <c r="B391" s="33"/>
      <c r="C391" s="33"/>
      <c r="D391" s="58" t="s">
        <v>11</v>
      </c>
      <c r="E391" s="37"/>
      <c r="F391" s="51"/>
      <c r="G391" s="51"/>
      <c r="H391" s="51">
        <f t="shared" si="18"/>
        <v>0</v>
      </c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</row>
    <row r="392" spans="1:19" s="87" customFormat="1" ht="56.25" x14ac:dyDescent="0.2">
      <c r="A392" s="41" t="s">
        <v>12</v>
      </c>
      <c r="B392" s="54" t="s">
        <v>4</v>
      </c>
      <c r="C392" s="54" t="s">
        <v>5</v>
      </c>
      <c r="D392" s="55" t="s">
        <v>6</v>
      </c>
      <c r="E392" s="83"/>
      <c r="F392" s="56">
        <f>SUM(F393:F393)</f>
        <v>185500</v>
      </c>
      <c r="G392" s="56">
        <f>SUM(G393:G393)</f>
        <v>0</v>
      </c>
      <c r="H392" s="56">
        <f t="shared" si="18"/>
        <v>185500</v>
      </c>
      <c r="I392" s="86"/>
      <c r="J392" s="86"/>
      <c r="K392" s="86"/>
      <c r="L392" s="86"/>
      <c r="M392" s="86"/>
      <c r="N392" s="86"/>
      <c r="O392" s="86"/>
      <c r="P392" s="86"/>
      <c r="Q392" s="86"/>
      <c r="R392" s="86"/>
      <c r="S392" s="86"/>
    </row>
    <row r="393" spans="1:19" ht="37.5" x14ac:dyDescent="0.2">
      <c r="A393" s="61"/>
      <c r="B393" s="61"/>
      <c r="C393" s="61"/>
      <c r="D393" s="61"/>
      <c r="E393" s="8" t="s">
        <v>53</v>
      </c>
      <c r="F393" s="66">
        <v>185500</v>
      </c>
      <c r="G393" s="66"/>
      <c r="H393" s="66">
        <f t="shared" si="18"/>
        <v>185500</v>
      </c>
    </row>
    <row r="394" spans="1:19" s="87" customFormat="1" ht="37.5" x14ac:dyDescent="0.2">
      <c r="A394" s="42">
        <v>1011100</v>
      </c>
      <c r="B394" s="41" t="s">
        <v>13</v>
      </c>
      <c r="C394" s="41" t="s">
        <v>14</v>
      </c>
      <c r="D394" s="41" t="s">
        <v>257</v>
      </c>
      <c r="E394" s="83"/>
      <c r="F394" s="56">
        <f>SUM(F395:F396)</f>
        <v>921590</v>
      </c>
      <c r="G394" s="56">
        <f>SUM(G395:G396)</f>
        <v>0</v>
      </c>
      <c r="H394" s="56">
        <f t="shared" si="18"/>
        <v>921590</v>
      </c>
      <c r="I394" s="86"/>
      <c r="J394" s="86"/>
      <c r="K394" s="86"/>
      <c r="L394" s="86"/>
      <c r="M394" s="86"/>
      <c r="N394" s="86"/>
      <c r="O394" s="86"/>
      <c r="P394" s="86"/>
      <c r="Q394" s="86"/>
      <c r="R394" s="86"/>
      <c r="S394" s="86"/>
    </row>
    <row r="395" spans="1:19" s="87" customFormat="1" x14ac:dyDescent="0.2">
      <c r="A395" s="42"/>
      <c r="B395" s="41"/>
      <c r="C395" s="41"/>
      <c r="D395" s="41"/>
      <c r="E395" s="83" t="s">
        <v>361</v>
      </c>
      <c r="F395" s="56">
        <v>10000</v>
      </c>
      <c r="G395" s="56"/>
      <c r="H395" s="56">
        <f t="shared" si="18"/>
        <v>10000</v>
      </c>
      <c r="I395" s="86"/>
      <c r="J395" s="86"/>
      <c r="K395" s="86"/>
      <c r="L395" s="86"/>
      <c r="M395" s="86"/>
      <c r="N395" s="86"/>
      <c r="O395" s="86"/>
      <c r="P395" s="86"/>
      <c r="Q395" s="86"/>
      <c r="R395" s="86"/>
      <c r="S395" s="86"/>
    </row>
    <row r="396" spans="1:19" ht="37.5" x14ac:dyDescent="0.2">
      <c r="A396" s="61"/>
      <c r="B396" s="61"/>
      <c r="C396" s="61"/>
      <c r="D396" s="61"/>
      <c r="E396" s="8" t="s">
        <v>197</v>
      </c>
      <c r="F396" s="66">
        <v>911590</v>
      </c>
      <c r="G396" s="66"/>
      <c r="H396" s="66">
        <f t="shared" si="18"/>
        <v>911590</v>
      </c>
    </row>
    <row r="397" spans="1:19" s="87" customFormat="1" x14ac:dyDescent="0.2">
      <c r="A397" s="42">
        <v>1014030</v>
      </c>
      <c r="B397" s="41" t="s">
        <v>264</v>
      </c>
      <c r="C397" s="41" t="s">
        <v>265</v>
      </c>
      <c r="D397" s="41" t="s">
        <v>266</v>
      </c>
      <c r="E397" s="83"/>
      <c r="F397" s="56">
        <f>SUM(F398:F400)</f>
        <v>101400</v>
      </c>
      <c r="G397" s="56">
        <f>SUM(G398:G400)</f>
        <v>0</v>
      </c>
      <c r="H397" s="56">
        <f t="shared" si="18"/>
        <v>101400</v>
      </c>
      <c r="I397" s="86"/>
      <c r="J397" s="86"/>
      <c r="K397" s="86"/>
      <c r="L397" s="86"/>
      <c r="M397" s="86"/>
      <c r="N397" s="86"/>
      <c r="O397" s="86"/>
      <c r="P397" s="86"/>
      <c r="Q397" s="86"/>
      <c r="R397" s="86"/>
      <c r="S397" s="86"/>
    </row>
    <row r="398" spans="1:19" ht="37.5" x14ac:dyDescent="0.2">
      <c r="A398" s="61"/>
      <c r="B398" s="61"/>
      <c r="C398" s="61"/>
      <c r="D398" s="61"/>
      <c r="E398" s="8" t="s">
        <v>197</v>
      </c>
      <c r="F398" s="66">
        <f>75000</f>
        <v>75000</v>
      </c>
      <c r="G398" s="66"/>
      <c r="H398" s="66">
        <f>F398+G398</f>
        <v>75000</v>
      </c>
    </row>
    <row r="399" spans="1:19" s="87" customFormat="1" x14ac:dyDescent="0.2">
      <c r="A399" s="42"/>
      <c r="B399" s="41"/>
      <c r="C399" s="41"/>
      <c r="D399" s="41"/>
      <c r="E399" s="83" t="s">
        <v>361</v>
      </c>
      <c r="F399" s="66">
        <v>6800</v>
      </c>
      <c r="G399" s="66"/>
      <c r="H399" s="66">
        <f>F399+G399</f>
        <v>6800</v>
      </c>
      <c r="I399" s="86"/>
      <c r="J399" s="86"/>
      <c r="K399" s="86"/>
      <c r="L399" s="86"/>
      <c r="M399" s="86"/>
      <c r="N399" s="86"/>
      <c r="O399" s="86"/>
      <c r="P399" s="86"/>
      <c r="Q399" s="86"/>
      <c r="R399" s="86"/>
      <c r="S399" s="86"/>
    </row>
    <row r="400" spans="1:19" ht="37.5" x14ac:dyDescent="0.2">
      <c r="A400" s="61"/>
      <c r="B400" s="61"/>
      <c r="C400" s="61"/>
      <c r="D400" s="61"/>
      <c r="E400" s="83" t="s">
        <v>276</v>
      </c>
      <c r="F400" s="66">
        <f>9000-9000+19600</f>
        <v>19600</v>
      </c>
      <c r="G400" s="66"/>
      <c r="H400" s="66">
        <f t="shared" si="18"/>
        <v>19600</v>
      </c>
    </row>
    <row r="401" spans="1:19" s="87" customFormat="1" ht="56.25" x14ac:dyDescent="0.2">
      <c r="A401" s="42">
        <v>1014060</v>
      </c>
      <c r="B401" s="41" t="s">
        <v>15</v>
      </c>
      <c r="C401" s="41" t="s">
        <v>16</v>
      </c>
      <c r="D401" s="41" t="s">
        <v>17</v>
      </c>
      <c r="E401" s="83"/>
      <c r="F401" s="56">
        <f>SUM(F402:F403)</f>
        <v>157627</v>
      </c>
      <c r="G401" s="56">
        <f>SUM(G402:G403)</f>
        <v>0</v>
      </c>
      <c r="H401" s="56">
        <f t="shared" si="18"/>
        <v>157627</v>
      </c>
      <c r="I401" s="86"/>
      <c r="J401" s="86"/>
      <c r="K401" s="86"/>
      <c r="L401" s="86"/>
      <c r="M401" s="86"/>
      <c r="N401" s="86"/>
      <c r="O401" s="86"/>
      <c r="P401" s="86"/>
      <c r="Q401" s="86"/>
      <c r="R401" s="86"/>
      <c r="S401" s="86"/>
    </row>
    <row r="402" spans="1:19" ht="37.5" x14ac:dyDescent="0.2">
      <c r="A402" s="61"/>
      <c r="B402" s="61"/>
      <c r="C402" s="61"/>
      <c r="D402" s="61"/>
      <c r="E402" s="8" t="s">
        <v>197</v>
      </c>
      <c r="F402" s="66">
        <v>157610</v>
      </c>
      <c r="G402" s="66"/>
      <c r="H402" s="66">
        <f t="shared" si="18"/>
        <v>157610</v>
      </c>
    </row>
    <row r="403" spans="1:19" ht="37.5" x14ac:dyDescent="0.2">
      <c r="A403" s="61"/>
      <c r="B403" s="61"/>
      <c r="C403" s="61"/>
      <c r="D403" s="61"/>
      <c r="E403" s="83" t="s">
        <v>276</v>
      </c>
      <c r="F403" s="66">
        <v>17</v>
      </c>
      <c r="G403" s="66"/>
      <c r="H403" s="66">
        <f t="shared" si="18"/>
        <v>17</v>
      </c>
    </row>
    <row r="404" spans="1:19" s="87" customFormat="1" ht="37.5" x14ac:dyDescent="0.2">
      <c r="A404" s="42">
        <v>1018410</v>
      </c>
      <c r="B404" s="41" t="s">
        <v>399</v>
      </c>
      <c r="C404" s="41" t="s">
        <v>400</v>
      </c>
      <c r="D404" s="41" t="s">
        <v>401</v>
      </c>
      <c r="E404" s="83"/>
      <c r="F404" s="56">
        <f>SUM(F405:F405)</f>
        <v>386000</v>
      </c>
      <c r="G404" s="56">
        <f>SUM(G405:G405)</f>
        <v>0</v>
      </c>
      <c r="H404" s="56">
        <f t="shared" si="18"/>
        <v>386000</v>
      </c>
      <c r="I404" s="86"/>
      <c r="J404" s="86"/>
      <c r="K404" s="86"/>
      <c r="L404" s="86"/>
      <c r="M404" s="86"/>
      <c r="N404" s="86"/>
      <c r="O404" s="86"/>
      <c r="P404" s="86"/>
      <c r="Q404" s="86"/>
      <c r="R404" s="86"/>
      <c r="S404" s="86"/>
    </row>
    <row r="405" spans="1:19" x14ac:dyDescent="0.2">
      <c r="A405" s="61"/>
      <c r="B405" s="61"/>
      <c r="C405" s="61"/>
      <c r="D405" s="61"/>
      <c r="E405" s="8" t="s">
        <v>402</v>
      </c>
      <c r="F405" s="66">
        <f>386000</f>
        <v>386000</v>
      </c>
      <c r="G405" s="66"/>
      <c r="H405" s="66">
        <f t="shared" si="18"/>
        <v>386000</v>
      </c>
    </row>
    <row r="406" spans="1:19" s="53" customFormat="1" ht="37.5" x14ac:dyDescent="0.2">
      <c r="A406" s="33" t="s">
        <v>134</v>
      </c>
      <c r="B406" s="33"/>
      <c r="C406" s="33"/>
      <c r="D406" s="33" t="s">
        <v>135</v>
      </c>
      <c r="E406" s="37"/>
      <c r="F406" s="51">
        <f>F408</f>
        <v>29028</v>
      </c>
      <c r="G406" s="51">
        <f>G408</f>
        <v>0</v>
      </c>
      <c r="H406" s="51">
        <f t="shared" si="18"/>
        <v>29028</v>
      </c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</row>
    <row r="407" spans="1:19" s="53" customFormat="1" ht="37.5" x14ac:dyDescent="0.2">
      <c r="A407" s="33" t="s">
        <v>136</v>
      </c>
      <c r="B407" s="33"/>
      <c r="C407" s="33"/>
      <c r="D407" s="58" t="s">
        <v>135</v>
      </c>
      <c r="E407" s="37"/>
      <c r="F407" s="51"/>
      <c r="G407" s="51"/>
      <c r="H407" s="51">
        <f t="shared" si="18"/>
        <v>0</v>
      </c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</row>
    <row r="408" spans="1:19" s="87" customFormat="1" ht="56.25" x14ac:dyDescent="0.2">
      <c r="A408" s="41" t="s">
        <v>459</v>
      </c>
      <c r="B408" s="54" t="s">
        <v>4</v>
      </c>
      <c r="C408" s="54" t="s">
        <v>5</v>
      </c>
      <c r="D408" s="55" t="s">
        <v>6</v>
      </c>
      <c r="E408" s="83"/>
      <c r="F408" s="56">
        <f>SUM(F409:F409)</f>
        <v>29028</v>
      </c>
      <c r="G408" s="56">
        <f>SUM(G409:G409)</f>
        <v>0</v>
      </c>
      <c r="H408" s="56">
        <f t="shared" si="18"/>
        <v>29028</v>
      </c>
      <c r="I408" s="86"/>
      <c r="J408" s="86"/>
      <c r="K408" s="86"/>
      <c r="L408" s="86"/>
      <c r="M408" s="86"/>
      <c r="N408" s="86"/>
      <c r="O408" s="86"/>
      <c r="P408" s="86"/>
      <c r="Q408" s="86"/>
      <c r="R408" s="86"/>
      <c r="S408" s="86"/>
    </row>
    <row r="409" spans="1:19" ht="37.5" x14ac:dyDescent="0.2">
      <c r="A409" s="61"/>
      <c r="B409" s="61"/>
      <c r="C409" s="61"/>
      <c r="D409" s="61"/>
      <c r="E409" s="8" t="s">
        <v>53</v>
      </c>
      <c r="F409" s="66">
        <v>29028</v>
      </c>
      <c r="G409" s="66"/>
      <c r="H409" s="66">
        <f t="shared" si="18"/>
        <v>29028</v>
      </c>
    </row>
    <row r="410" spans="1:19" ht="56.25" x14ac:dyDescent="0.2">
      <c r="A410" s="29">
        <v>1200000</v>
      </c>
      <c r="B410" s="33"/>
      <c r="C410" s="33"/>
      <c r="D410" s="33" t="s">
        <v>116</v>
      </c>
      <c r="E410" s="37"/>
      <c r="F410" s="51">
        <f>F412+F414+F421+F442+F447+F440</f>
        <v>161338432</v>
      </c>
      <c r="G410" s="51">
        <f>G412+G414+G421+G442+G447+G440</f>
        <v>4816017</v>
      </c>
      <c r="H410" s="51">
        <f t="shared" si="18"/>
        <v>166154449</v>
      </c>
    </row>
    <row r="411" spans="1:19" ht="56.25" x14ac:dyDescent="0.2">
      <c r="A411" s="29">
        <v>1210000</v>
      </c>
      <c r="B411" s="33"/>
      <c r="C411" s="33"/>
      <c r="D411" s="58" t="s">
        <v>116</v>
      </c>
      <c r="E411" s="8"/>
      <c r="F411" s="66"/>
      <c r="G411" s="66"/>
      <c r="H411" s="66">
        <f t="shared" si="18"/>
        <v>0</v>
      </c>
    </row>
    <row r="412" spans="1:19" ht="56.25" x14ac:dyDescent="0.2">
      <c r="A412" s="41" t="s">
        <v>117</v>
      </c>
      <c r="B412" s="54" t="s">
        <v>4</v>
      </c>
      <c r="C412" s="54" t="s">
        <v>5</v>
      </c>
      <c r="D412" s="55" t="s">
        <v>6</v>
      </c>
      <c r="E412" s="8"/>
      <c r="F412" s="56">
        <f>SUM(F413)</f>
        <v>100000</v>
      </c>
      <c r="G412" s="56">
        <f>SUM(G413)</f>
        <v>0</v>
      </c>
      <c r="H412" s="56">
        <f t="shared" si="18"/>
        <v>100000</v>
      </c>
    </row>
    <row r="413" spans="1:19" x14ac:dyDescent="0.2">
      <c r="A413" s="61"/>
      <c r="B413" s="61"/>
      <c r="C413" s="61"/>
      <c r="D413" s="61"/>
      <c r="E413" s="8" t="s">
        <v>124</v>
      </c>
      <c r="F413" s="66">
        <v>100000</v>
      </c>
      <c r="G413" s="66"/>
      <c r="H413" s="66">
        <f t="shared" si="18"/>
        <v>100000</v>
      </c>
    </row>
    <row r="414" spans="1:19" ht="37.5" x14ac:dyDescent="0.2">
      <c r="A414" s="41" t="s">
        <v>118</v>
      </c>
      <c r="B414" s="41" t="s">
        <v>119</v>
      </c>
      <c r="C414" s="41" t="s">
        <v>51</v>
      </c>
      <c r="D414" s="41" t="s">
        <v>120</v>
      </c>
      <c r="E414" s="8"/>
      <c r="F414" s="56">
        <f>SUM(F415:F420)</f>
        <v>3254628</v>
      </c>
      <c r="G414" s="56">
        <f>SUM(G415:G420)</f>
        <v>527920</v>
      </c>
      <c r="H414" s="56">
        <f t="shared" ref="H414:H548" si="20">F414+G414</f>
        <v>3782548</v>
      </c>
    </row>
    <row r="415" spans="1:19" x14ac:dyDescent="0.2">
      <c r="A415" s="61"/>
      <c r="B415" s="61"/>
      <c r="C415" s="61"/>
      <c r="D415" s="61"/>
      <c r="E415" s="65" t="s">
        <v>120</v>
      </c>
      <c r="F415" s="66">
        <v>1097039</v>
      </c>
      <c r="G415" s="66">
        <f>393000+120000</f>
        <v>513000</v>
      </c>
      <c r="H415" s="66">
        <f t="shared" si="20"/>
        <v>1610039</v>
      </c>
    </row>
    <row r="416" spans="1:19" x14ac:dyDescent="0.2">
      <c r="A416" s="61"/>
      <c r="B416" s="61"/>
      <c r="C416" s="61"/>
      <c r="D416" s="61"/>
      <c r="E416" s="65" t="s">
        <v>216</v>
      </c>
      <c r="F416" s="66">
        <v>500000</v>
      </c>
      <c r="G416" s="66"/>
      <c r="H416" s="66">
        <f t="shared" si="20"/>
        <v>500000</v>
      </c>
    </row>
    <row r="417" spans="1:8" ht="37.5" x14ac:dyDescent="0.2">
      <c r="A417" s="61"/>
      <c r="B417" s="61"/>
      <c r="C417" s="61"/>
      <c r="D417" s="61"/>
      <c r="E417" s="65" t="s">
        <v>290</v>
      </c>
      <c r="F417" s="66">
        <v>298157</v>
      </c>
      <c r="G417" s="66"/>
      <c r="H417" s="66">
        <f t="shared" si="20"/>
        <v>298157</v>
      </c>
    </row>
    <row r="418" spans="1:8" ht="37.5" x14ac:dyDescent="0.2">
      <c r="A418" s="33"/>
      <c r="B418" s="33"/>
      <c r="C418" s="33"/>
      <c r="D418" s="37"/>
      <c r="E418" s="83" t="s">
        <v>275</v>
      </c>
      <c r="F418" s="66">
        <v>599480</v>
      </c>
      <c r="G418" s="66"/>
      <c r="H418" s="66">
        <f t="shared" si="20"/>
        <v>599480</v>
      </c>
    </row>
    <row r="419" spans="1:8" x14ac:dyDescent="0.2">
      <c r="A419" s="33"/>
      <c r="B419" s="33"/>
      <c r="C419" s="33"/>
      <c r="D419" s="37"/>
      <c r="E419" s="83" t="s">
        <v>361</v>
      </c>
      <c r="F419" s="66"/>
      <c r="G419" s="66">
        <f>14920</f>
        <v>14920</v>
      </c>
      <c r="H419" s="66">
        <f t="shared" si="20"/>
        <v>14920</v>
      </c>
    </row>
    <row r="420" spans="1:8" ht="37.5" x14ac:dyDescent="0.2">
      <c r="A420" s="61"/>
      <c r="B420" s="61"/>
      <c r="C420" s="61"/>
      <c r="D420" s="61"/>
      <c r="E420" s="83" t="s">
        <v>276</v>
      </c>
      <c r="F420" s="66">
        <v>759952</v>
      </c>
      <c r="G420" s="66"/>
      <c r="H420" s="66">
        <f t="shared" si="20"/>
        <v>759952</v>
      </c>
    </row>
    <row r="421" spans="1:8" x14ac:dyDescent="0.2">
      <c r="A421" s="41" t="s">
        <v>121</v>
      </c>
      <c r="B421" s="41" t="s">
        <v>28</v>
      </c>
      <c r="C421" s="41" t="s">
        <v>29</v>
      </c>
      <c r="D421" s="41" t="s">
        <v>21</v>
      </c>
      <c r="E421" s="8"/>
      <c r="F421" s="56">
        <f>SUM(F422:F439)</f>
        <v>52131526</v>
      </c>
      <c r="G421" s="56">
        <f>SUM(G422:G439)</f>
        <v>13255972</v>
      </c>
      <c r="H421" s="56">
        <f t="shared" si="20"/>
        <v>65387498</v>
      </c>
    </row>
    <row r="422" spans="1:8" x14ac:dyDescent="0.2">
      <c r="A422" s="61"/>
      <c r="B422" s="61"/>
      <c r="C422" s="61"/>
      <c r="D422" s="61"/>
      <c r="E422" s="65" t="s">
        <v>198</v>
      </c>
      <c r="F422" s="66">
        <v>10458731</v>
      </c>
      <c r="G422" s="66">
        <f>352323+71025-138729</f>
        <v>284619</v>
      </c>
      <c r="H422" s="66">
        <f t="shared" si="20"/>
        <v>10743350</v>
      </c>
    </row>
    <row r="423" spans="1:8" x14ac:dyDescent="0.2">
      <c r="A423" s="61"/>
      <c r="B423" s="61"/>
      <c r="C423" s="61"/>
      <c r="D423" s="61"/>
      <c r="E423" s="65" t="s">
        <v>291</v>
      </c>
      <c r="F423" s="66">
        <v>3249600</v>
      </c>
      <c r="G423" s="66">
        <f>674800</f>
        <v>674800</v>
      </c>
      <c r="H423" s="66">
        <f t="shared" si="20"/>
        <v>3924400</v>
      </c>
    </row>
    <row r="424" spans="1:8" ht="37.5" x14ac:dyDescent="0.2">
      <c r="A424" s="61"/>
      <c r="B424" s="61"/>
      <c r="C424" s="61"/>
      <c r="D424" s="61"/>
      <c r="E424" s="65" t="s">
        <v>292</v>
      </c>
      <c r="F424" s="66">
        <v>16438186</v>
      </c>
      <c r="G424" s="66">
        <f>6694143+650000+770400+310000</f>
        <v>8424543</v>
      </c>
      <c r="H424" s="66">
        <f t="shared" si="20"/>
        <v>24862729</v>
      </c>
    </row>
    <row r="425" spans="1:8" x14ac:dyDescent="0.2">
      <c r="A425" s="61"/>
      <c r="B425" s="61"/>
      <c r="C425" s="61"/>
      <c r="D425" s="61"/>
      <c r="E425" s="65" t="s">
        <v>293</v>
      </c>
      <c r="F425" s="66">
        <v>3109947</v>
      </c>
      <c r="G425" s="66">
        <f>189978-56000</f>
        <v>133978</v>
      </c>
      <c r="H425" s="66">
        <f t="shared" si="20"/>
        <v>3243925</v>
      </c>
    </row>
    <row r="426" spans="1:8" ht="37.5" x14ac:dyDescent="0.2">
      <c r="A426" s="61"/>
      <c r="B426" s="61"/>
      <c r="C426" s="61"/>
      <c r="D426" s="61"/>
      <c r="E426" s="65" t="s">
        <v>294</v>
      </c>
      <c r="F426" s="66">
        <v>215840</v>
      </c>
      <c r="G426" s="66">
        <f>119000</f>
        <v>119000</v>
      </c>
      <c r="H426" s="66">
        <f t="shared" si="20"/>
        <v>334840</v>
      </c>
    </row>
    <row r="427" spans="1:8" x14ac:dyDescent="0.2">
      <c r="A427" s="61"/>
      <c r="B427" s="61"/>
      <c r="C427" s="61"/>
      <c r="D427" s="61"/>
      <c r="E427" s="65" t="s">
        <v>295</v>
      </c>
      <c r="F427" s="66">
        <v>1023161</v>
      </c>
      <c r="G427" s="66">
        <f>1643311+1689</f>
        <v>1645000</v>
      </c>
      <c r="H427" s="66">
        <f t="shared" si="20"/>
        <v>2668161</v>
      </c>
    </row>
    <row r="428" spans="1:8" x14ac:dyDescent="0.2">
      <c r="A428" s="61"/>
      <c r="B428" s="61"/>
      <c r="C428" s="61"/>
      <c r="D428" s="61"/>
      <c r="E428" s="65" t="s">
        <v>296</v>
      </c>
      <c r="F428" s="66">
        <v>832792</v>
      </c>
      <c r="G428" s="66">
        <f>1162000</f>
        <v>1162000</v>
      </c>
      <c r="H428" s="66">
        <f t="shared" si="20"/>
        <v>1994792</v>
      </c>
    </row>
    <row r="429" spans="1:8" x14ac:dyDescent="0.2">
      <c r="A429" s="61"/>
      <c r="B429" s="61"/>
      <c r="C429" s="61"/>
      <c r="D429" s="61"/>
      <c r="E429" s="65" t="s">
        <v>297</v>
      </c>
      <c r="F429" s="66">
        <v>918809</v>
      </c>
      <c r="G429" s="66">
        <f>42000</f>
        <v>42000</v>
      </c>
      <c r="H429" s="66">
        <f t="shared" si="20"/>
        <v>960809</v>
      </c>
    </row>
    <row r="430" spans="1:8" x14ac:dyDescent="0.2">
      <c r="A430" s="61"/>
      <c r="B430" s="61"/>
      <c r="C430" s="61"/>
      <c r="D430" s="61"/>
      <c r="E430" s="65" t="s">
        <v>298</v>
      </c>
      <c r="F430" s="66">
        <v>49900</v>
      </c>
      <c r="G430" s="66"/>
      <c r="H430" s="66">
        <f t="shared" si="20"/>
        <v>49900</v>
      </c>
    </row>
    <row r="431" spans="1:8" x14ac:dyDescent="0.2">
      <c r="A431" s="61"/>
      <c r="B431" s="61"/>
      <c r="C431" s="61"/>
      <c r="D431" s="61"/>
      <c r="E431" s="65" t="s">
        <v>299</v>
      </c>
      <c r="F431" s="66">
        <v>166042</v>
      </c>
      <c r="G431" s="66"/>
      <c r="H431" s="66">
        <f t="shared" si="20"/>
        <v>166042</v>
      </c>
    </row>
    <row r="432" spans="1:8" x14ac:dyDescent="0.2">
      <c r="A432" s="61"/>
      <c r="B432" s="61"/>
      <c r="C432" s="61"/>
      <c r="D432" s="61"/>
      <c r="E432" s="65" t="s">
        <v>300</v>
      </c>
      <c r="F432" s="66">
        <v>1374185</v>
      </c>
      <c r="G432" s="66">
        <f>457500</f>
        <v>457500</v>
      </c>
      <c r="H432" s="66">
        <f t="shared" si="20"/>
        <v>1831685</v>
      </c>
    </row>
    <row r="433" spans="1:8" ht="37.5" x14ac:dyDescent="0.2">
      <c r="A433" s="61"/>
      <c r="B433" s="61"/>
      <c r="C433" s="61"/>
      <c r="D433" s="61"/>
      <c r="E433" s="65" t="s">
        <v>301</v>
      </c>
      <c r="F433" s="66">
        <v>586830</v>
      </c>
      <c r="G433" s="66">
        <f>49000-16000</f>
        <v>33000</v>
      </c>
      <c r="H433" s="66">
        <f t="shared" si="20"/>
        <v>619830</v>
      </c>
    </row>
    <row r="434" spans="1:8" ht="37.5" x14ac:dyDescent="0.2">
      <c r="A434" s="61"/>
      <c r="B434" s="61"/>
      <c r="C434" s="61"/>
      <c r="D434" s="61"/>
      <c r="E434" s="65" t="s">
        <v>302</v>
      </c>
      <c r="F434" s="66">
        <v>1160616</v>
      </c>
      <c r="G434" s="66">
        <f>-182278</f>
        <v>-182278</v>
      </c>
      <c r="H434" s="66">
        <f t="shared" si="20"/>
        <v>978338</v>
      </c>
    </row>
    <row r="435" spans="1:8" ht="37.5" x14ac:dyDescent="0.2">
      <c r="A435" s="61"/>
      <c r="B435" s="61"/>
      <c r="C435" s="61"/>
      <c r="D435" s="61"/>
      <c r="E435" s="65" t="s">
        <v>303</v>
      </c>
      <c r="F435" s="66">
        <v>330760</v>
      </c>
      <c r="G435" s="66">
        <f>-76178</f>
        <v>-76178</v>
      </c>
      <c r="H435" s="66">
        <f t="shared" si="20"/>
        <v>254582</v>
      </c>
    </row>
    <row r="436" spans="1:8" ht="56.25" x14ac:dyDescent="0.2">
      <c r="A436" s="61"/>
      <c r="B436" s="61"/>
      <c r="C436" s="61"/>
      <c r="D436" s="61"/>
      <c r="E436" s="167" t="s">
        <v>543</v>
      </c>
      <c r="F436" s="66"/>
      <c r="G436" s="66">
        <f>530000</f>
        <v>530000</v>
      </c>
      <c r="H436" s="66">
        <f t="shared" si="20"/>
        <v>530000</v>
      </c>
    </row>
    <row r="437" spans="1:8" x14ac:dyDescent="0.2">
      <c r="A437" s="33"/>
      <c r="B437" s="33"/>
      <c r="C437" s="33"/>
      <c r="D437" s="37"/>
      <c r="E437" s="83" t="s">
        <v>361</v>
      </c>
      <c r="F437" s="66">
        <v>158069</v>
      </c>
      <c r="G437" s="66">
        <f>7988</f>
        <v>7988</v>
      </c>
      <c r="H437" s="66">
        <f t="shared" si="20"/>
        <v>166057</v>
      </c>
    </row>
    <row r="438" spans="1:8" ht="37.5" x14ac:dyDescent="0.2">
      <c r="A438" s="61"/>
      <c r="B438" s="61"/>
      <c r="C438" s="61"/>
      <c r="D438" s="61"/>
      <c r="E438" s="83" t="s">
        <v>276</v>
      </c>
      <c r="F438" s="66">
        <v>357950</v>
      </c>
      <c r="G438" s="66"/>
      <c r="H438" s="66">
        <f t="shared" si="20"/>
        <v>357950</v>
      </c>
    </row>
    <row r="439" spans="1:8" ht="37.5" x14ac:dyDescent="0.2">
      <c r="A439" s="33"/>
      <c r="B439" s="33"/>
      <c r="C439" s="33"/>
      <c r="D439" s="37"/>
      <c r="E439" s="83" t="s">
        <v>275</v>
      </c>
      <c r="F439" s="66">
        <v>11700108</v>
      </c>
      <c r="G439" s="66"/>
      <c r="H439" s="66">
        <f t="shared" si="20"/>
        <v>11700108</v>
      </c>
    </row>
    <row r="440" spans="1:8" ht="37.5" x14ac:dyDescent="0.2">
      <c r="A440" s="41" t="s">
        <v>521</v>
      </c>
      <c r="B440" s="41" t="s">
        <v>173</v>
      </c>
      <c r="C440" s="41" t="s">
        <v>51</v>
      </c>
      <c r="D440" s="41" t="s">
        <v>174</v>
      </c>
      <c r="E440" s="8"/>
      <c r="F440" s="56">
        <f>SUM(F441)</f>
        <v>0</v>
      </c>
      <c r="G440" s="56">
        <f>SUM(G441)</f>
        <v>500000</v>
      </c>
      <c r="H440" s="56">
        <f t="shared" ref="H440:H441" si="21">F440+G440</f>
        <v>500000</v>
      </c>
    </row>
    <row r="441" spans="1:8" ht="93.75" x14ac:dyDescent="0.2">
      <c r="A441" s="61"/>
      <c r="B441" s="61"/>
      <c r="C441" s="61"/>
      <c r="D441" s="61"/>
      <c r="E441" s="8" t="s">
        <v>522</v>
      </c>
      <c r="F441" s="66"/>
      <c r="G441" s="66">
        <f>500000</f>
        <v>500000</v>
      </c>
      <c r="H441" s="66">
        <f t="shared" si="21"/>
        <v>500000</v>
      </c>
    </row>
    <row r="442" spans="1:8" ht="37.5" x14ac:dyDescent="0.2">
      <c r="A442" s="41" t="s">
        <v>122</v>
      </c>
      <c r="B442" s="41" t="s">
        <v>25</v>
      </c>
      <c r="C442" s="41" t="s">
        <v>26</v>
      </c>
      <c r="D442" s="42" t="s">
        <v>22</v>
      </c>
      <c r="E442" s="8"/>
      <c r="F442" s="56">
        <f>SUM(F443:F446)</f>
        <v>19719836</v>
      </c>
      <c r="G442" s="56">
        <f>SUM(G443:G446)</f>
        <v>2025</v>
      </c>
      <c r="H442" s="56">
        <f t="shared" si="20"/>
        <v>19721861</v>
      </c>
    </row>
    <row r="443" spans="1:8" ht="37.5" x14ac:dyDescent="0.2">
      <c r="A443" s="61"/>
      <c r="B443" s="61"/>
      <c r="C443" s="61"/>
      <c r="D443" s="61"/>
      <c r="E443" s="8" t="s">
        <v>125</v>
      </c>
      <c r="F443" s="66">
        <v>5856182</v>
      </c>
      <c r="G443" s="66">
        <f>2025</f>
        <v>2025</v>
      </c>
      <c r="H443" s="66">
        <f t="shared" si="20"/>
        <v>5858207</v>
      </c>
    </row>
    <row r="444" spans="1:8" ht="37.5" x14ac:dyDescent="0.2">
      <c r="A444" s="61"/>
      <c r="B444" s="61"/>
      <c r="C444" s="61"/>
      <c r="D444" s="61"/>
      <c r="E444" s="8" t="s">
        <v>290</v>
      </c>
      <c r="F444" s="66">
        <v>127082</v>
      </c>
      <c r="G444" s="66"/>
      <c r="H444" s="66">
        <f t="shared" si="20"/>
        <v>127082</v>
      </c>
    </row>
    <row r="445" spans="1:8" ht="37.5" x14ac:dyDescent="0.2">
      <c r="A445" s="61"/>
      <c r="B445" s="61"/>
      <c r="C445" s="61"/>
      <c r="D445" s="61"/>
      <c r="E445" s="8" t="s">
        <v>221</v>
      </c>
      <c r="F445" s="66">
        <v>13563000</v>
      </c>
      <c r="G445" s="66"/>
      <c r="H445" s="66">
        <f t="shared" si="20"/>
        <v>13563000</v>
      </c>
    </row>
    <row r="446" spans="1:8" ht="37.5" x14ac:dyDescent="0.2">
      <c r="A446" s="61"/>
      <c r="B446" s="61"/>
      <c r="C446" s="61"/>
      <c r="D446" s="61"/>
      <c r="E446" s="83" t="s">
        <v>276</v>
      </c>
      <c r="F446" s="66">
        <v>173572</v>
      </c>
      <c r="G446" s="66"/>
      <c r="H446" s="66">
        <f t="shared" si="20"/>
        <v>173572</v>
      </c>
    </row>
    <row r="447" spans="1:8" ht="37.5" x14ac:dyDescent="0.2">
      <c r="A447" s="41" t="s">
        <v>123</v>
      </c>
      <c r="B447" s="41" t="s">
        <v>8</v>
      </c>
      <c r="C447" s="41" t="s">
        <v>9</v>
      </c>
      <c r="D447" s="89" t="s">
        <v>10</v>
      </c>
      <c r="E447" s="8"/>
      <c r="F447" s="56">
        <f>SUM(F448:F462)</f>
        <v>86132442</v>
      </c>
      <c r="G447" s="56">
        <f>SUM(G448:G462)</f>
        <v>-9469900</v>
      </c>
      <c r="H447" s="56">
        <f t="shared" si="20"/>
        <v>76662542</v>
      </c>
    </row>
    <row r="448" spans="1:8" ht="56.25" x14ac:dyDescent="0.2">
      <c r="A448" s="61"/>
      <c r="B448" s="61"/>
      <c r="C448" s="61"/>
      <c r="D448" s="61"/>
      <c r="E448" s="8" t="s">
        <v>126</v>
      </c>
      <c r="F448" s="66">
        <v>10300000</v>
      </c>
      <c r="G448" s="66"/>
      <c r="H448" s="66">
        <f t="shared" si="20"/>
        <v>10300000</v>
      </c>
    </row>
    <row r="449" spans="1:8" ht="56.25" x14ac:dyDescent="0.2">
      <c r="A449" s="61"/>
      <c r="B449" s="61"/>
      <c r="C449" s="61"/>
      <c r="D449" s="61"/>
      <c r="E449" s="8" t="s">
        <v>127</v>
      </c>
      <c r="F449" s="66">
        <v>4300000</v>
      </c>
      <c r="G449" s="66"/>
      <c r="H449" s="66">
        <f t="shared" si="20"/>
        <v>4300000</v>
      </c>
    </row>
    <row r="450" spans="1:8" ht="75" x14ac:dyDescent="0.2">
      <c r="A450" s="61"/>
      <c r="B450" s="61"/>
      <c r="C450" s="61"/>
      <c r="D450" s="61"/>
      <c r="E450" s="8" t="s">
        <v>304</v>
      </c>
      <c r="F450" s="66">
        <v>5400000</v>
      </c>
      <c r="G450" s="66"/>
      <c r="H450" s="66">
        <f t="shared" si="20"/>
        <v>5400000</v>
      </c>
    </row>
    <row r="451" spans="1:8" ht="56.25" x14ac:dyDescent="0.2">
      <c r="A451" s="61"/>
      <c r="B451" s="61"/>
      <c r="C451" s="61"/>
      <c r="D451" s="61"/>
      <c r="E451" s="9" t="s">
        <v>305</v>
      </c>
      <c r="F451" s="66">
        <v>1000000</v>
      </c>
      <c r="G451" s="66"/>
      <c r="H451" s="66">
        <f t="shared" si="20"/>
        <v>1000000</v>
      </c>
    </row>
    <row r="452" spans="1:8" ht="37.5" x14ac:dyDescent="0.2">
      <c r="A452" s="61"/>
      <c r="B452" s="61"/>
      <c r="C452" s="61"/>
      <c r="D452" s="61"/>
      <c r="E452" s="9" t="s">
        <v>415</v>
      </c>
      <c r="F452" s="66">
        <v>49000</v>
      </c>
      <c r="G452" s="66"/>
      <c r="H452" s="66">
        <f t="shared" si="20"/>
        <v>49000</v>
      </c>
    </row>
    <row r="453" spans="1:8" ht="56.25" x14ac:dyDescent="0.2">
      <c r="A453" s="61"/>
      <c r="B453" s="61"/>
      <c r="C453" s="61"/>
      <c r="D453" s="61"/>
      <c r="E453" s="9" t="s">
        <v>128</v>
      </c>
      <c r="F453" s="66">
        <v>5699311</v>
      </c>
      <c r="G453" s="66">
        <f>49000</f>
        <v>49000</v>
      </c>
      <c r="H453" s="66">
        <f t="shared" si="20"/>
        <v>5748311</v>
      </c>
    </row>
    <row r="454" spans="1:8" ht="56.25" x14ac:dyDescent="0.2">
      <c r="A454" s="61"/>
      <c r="B454" s="61"/>
      <c r="C454" s="61"/>
      <c r="D454" s="61"/>
      <c r="E454" s="9" t="s">
        <v>129</v>
      </c>
      <c r="F454" s="66">
        <v>3150000</v>
      </c>
      <c r="G454" s="66">
        <f>350000</f>
        <v>350000</v>
      </c>
      <c r="H454" s="66">
        <f t="shared" si="20"/>
        <v>3500000</v>
      </c>
    </row>
    <row r="455" spans="1:8" ht="56.25" x14ac:dyDescent="0.2">
      <c r="A455" s="61"/>
      <c r="B455" s="61"/>
      <c r="C455" s="61"/>
      <c r="D455" s="61"/>
      <c r="E455" s="9" t="s">
        <v>217</v>
      </c>
      <c r="F455" s="66">
        <v>1000000</v>
      </c>
      <c r="G455" s="66"/>
      <c r="H455" s="66">
        <f t="shared" si="20"/>
        <v>1000000</v>
      </c>
    </row>
    <row r="456" spans="1:8" ht="37.5" x14ac:dyDescent="0.2">
      <c r="A456" s="61"/>
      <c r="B456" s="61"/>
      <c r="C456" s="61"/>
      <c r="D456" s="61"/>
      <c r="E456" s="9" t="s">
        <v>414</v>
      </c>
      <c r="F456" s="66">
        <v>49000</v>
      </c>
      <c r="G456" s="66"/>
      <c r="H456" s="66">
        <f t="shared" si="20"/>
        <v>49000</v>
      </c>
    </row>
    <row r="457" spans="1:8" ht="37.5" x14ac:dyDescent="0.2">
      <c r="A457" s="61"/>
      <c r="B457" s="61"/>
      <c r="C457" s="61"/>
      <c r="D457" s="61"/>
      <c r="E457" s="9" t="s">
        <v>130</v>
      </c>
      <c r="F457" s="66">
        <v>550000</v>
      </c>
      <c r="G457" s="66">
        <f>440000</f>
        <v>440000</v>
      </c>
      <c r="H457" s="66">
        <f t="shared" si="20"/>
        <v>990000</v>
      </c>
    </row>
    <row r="458" spans="1:8" ht="56.25" x14ac:dyDescent="0.2">
      <c r="A458" s="61"/>
      <c r="B458" s="61"/>
      <c r="C458" s="61"/>
      <c r="D458" s="61"/>
      <c r="E458" s="9" t="s">
        <v>131</v>
      </c>
      <c r="F458" s="66">
        <v>36518000</v>
      </c>
      <c r="G458" s="66">
        <f>-20314400+6100000+1000000</f>
        <v>-13214400</v>
      </c>
      <c r="H458" s="66">
        <f t="shared" si="20"/>
        <v>23303600</v>
      </c>
    </row>
    <row r="459" spans="1:8" ht="56.25" x14ac:dyDescent="0.2">
      <c r="A459" s="61"/>
      <c r="B459" s="61"/>
      <c r="C459" s="61"/>
      <c r="D459" s="61"/>
      <c r="E459" s="9" t="s">
        <v>535</v>
      </c>
      <c r="F459" s="66">
        <v>9998234</v>
      </c>
      <c r="G459" s="66"/>
      <c r="H459" s="66">
        <f t="shared" si="20"/>
        <v>9998234</v>
      </c>
    </row>
    <row r="460" spans="1:8" ht="56.25" x14ac:dyDescent="0.2">
      <c r="A460" s="61"/>
      <c r="B460" s="61"/>
      <c r="C460" s="61"/>
      <c r="D460" s="61"/>
      <c r="E460" s="9" t="s">
        <v>132</v>
      </c>
      <c r="F460" s="66">
        <v>3949904</v>
      </c>
      <c r="G460" s="66">
        <f>2800000</f>
        <v>2800000</v>
      </c>
      <c r="H460" s="66">
        <f t="shared" si="20"/>
        <v>6749904</v>
      </c>
    </row>
    <row r="461" spans="1:8" ht="37.5" x14ac:dyDescent="0.2">
      <c r="A461" s="61"/>
      <c r="B461" s="61"/>
      <c r="C461" s="61"/>
      <c r="D461" s="61"/>
      <c r="E461" s="9" t="s">
        <v>133</v>
      </c>
      <c r="F461" s="66">
        <v>3668993</v>
      </c>
      <c r="G461" s="66">
        <f>120000</f>
        <v>120000</v>
      </c>
      <c r="H461" s="66">
        <f t="shared" si="20"/>
        <v>3788993</v>
      </c>
    </row>
    <row r="462" spans="1:8" ht="56.25" x14ac:dyDescent="0.2">
      <c r="A462" s="41"/>
      <c r="B462" s="41"/>
      <c r="C462" s="41"/>
      <c r="D462" s="41"/>
      <c r="E462" s="65" t="s">
        <v>239</v>
      </c>
      <c r="F462" s="66">
        <v>500000</v>
      </c>
      <c r="G462" s="66">
        <f>-14500</f>
        <v>-14500</v>
      </c>
      <c r="H462" s="66">
        <f t="shared" si="20"/>
        <v>485500</v>
      </c>
    </row>
    <row r="463" spans="1:8" ht="37.5" x14ac:dyDescent="0.2">
      <c r="A463" s="29">
        <v>1500000</v>
      </c>
      <c r="B463" s="61"/>
      <c r="C463" s="61"/>
      <c r="D463" s="29" t="s">
        <v>82</v>
      </c>
      <c r="E463" s="65"/>
      <c r="F463" s="30">
        <f>F467+F522+F557+F563+F566+F569+F573+F548+F465</f>
        <v>146452368</v>
      </c>
      <c r="G463" s="30">
        <f>G467+G522+G557+G563+G566+G569+G573+G548+G465</f>
        <v>33866200</v>
      </c>
      <c r="H463" s="30">
        <f t="shared" si="20"/>
        <v>180318568</v>
      </c>
    </row>
    <row r="464" spans="1:8" ht="37.5" x14ac:dyDescent="0.2">
      <c r="A464" s="29">
        <v>1510000</v>
      </c>
      <c r="B464" s="61"/>
      <c r="C464" s="61"/>
      <c r="D464" s="37" t="s">
        <v>82</v>
      </c>
      <c r="E464" s="65"/>
      <c r="F464" s="66"/>
      <c r="G464" s="66"/>
      <c r="H464" s="66">
        <f t="shared" si="20"/>
        <v>0</v>
      </c>
    </row>
    <row r="465" spans="1:9" x14ac:dyDescent="0.2">
      <c r="A465" s="42">
        <v>1510180</v>
      </c>
      <c r="B465" s="54" t="s">
        <v>35</v>
      </c>
      <c r="C465" s="54" t="s">
        <v>36</v>
      </c>
      <c r="D465" s="55" t="s">
        <v>37</v>
      </c>
      <c r="E465" s="65"/>
      <c r="F465" s="66">
        <f>F466</f>
        <v>1600000</v>
      </c>
      <c r="G465" s="56">
        <f>G466</f>
        <v>0</v>
      </c>
      <c r="H465" s="44">
        <f t="shared" si="20"/>
        <v>1600000</v>
      </c>
    </row>
    <row r="466" spans="1:9" ht="37.5" x14ac:dyDescent="0.2">
      <c r="A466" s="29"/>
      <c r="B466" s="61"/>
      <c r="C466" s="61"/>
      <c r="D466" s="37"/>
      <c r="E466" s="3" t="s">
        <v>474</v>
      </c>
      <c r="F466" s="66">
        <v>1600000</v>
      </c>
      <c r="G466" s="66"/>
      <c r="H466" s="64">
        <f t="shared" si="20"/>
        <v>1600000</v>
      </c>
    </row>
    <row r="467" spans="1:9" ht="37.5" x14ac:dyDescent="0.2">
      <c r="A467" s="41" t="s">
        <v>76</v>
      </c>
      <c r="B467" s="41" t="s">
        <v>25</v>
      </c>
      <c r="C467" s="41" t="s">
        <v>26</v>
      </c>
      <c r="D467" s="42" t="s">
        <v>22</v>
      </c>
      <c r="E467" s="28"/>
      <c r="F467" s="44">
        <f>SUM(F468:F521)</f>
        <v>100598909</v>
      </c>
      <c r="G467" s="44">
        <f>SUM(G468:G521)</f>
        <v>27621273</v>
      </c>
      <c r="H467" s="44">
        <f t="shared" si="20"/>
        <v>128220182</v>
      </c>
      <c r="I467" s="122"/>
    </row>
    <row r="468" spans="1:9" x14ac:dyDescent="0.2">
      <c r="A468" s="41"/>
      <c r="B468" s="41"/>
      <c r="C468" s="41"/>
      <c r="D468" s="42"/>
      <c r="E468" s="28" t="s">
        <v>85</v>
      </c>
      <c r="F468" s="44"/>
      <c r="G468" s="44"/>
      <c r="H468" s="44">
        <f>F468+G468</f>
        <v>0</v>
      </c>
    </row>
    <row r="469" spans="1:9" ht="75" x14ac:dyDescent="0.2">
      <c r="A469" s="41"/>
      <c r="B469" s="61"/>
      <c r="C469" s="61"/>
      <c r="D469" s="42"/>
      <c r="E469" s="7" t="s">
        <v>86</v>
      </c>
      <c r="F469" s="66">
        <v>5809747</v>
      </c>
      <c r="G469" s="66">
        <f>1257568+322</f>
        <v>1257890</v>
      </c>
      <c r="H469" s="66">
        <f>F469+G469</f>
        <v>7067637</v>
      </c>
    </row>
    <row r="470" spans="1:9" ht="93.75" x14ac:dyDescent="0.2">
      <c r="A470" s="41"/>
      <c r="B470" s="61"/>
      <c r="C470" s="61"/>
      <c r="D470" s="42"/>
      <c r="E470" s="7" t="s">
        <v>87</v>
      </c>
      <c r="F470" s="66">
        <v>1000000</v>
      </c>
      <c r="G470" s="66"/>
      <c r="H470" s="66">
        <f>F470+G470</f>
        <v>1000000</v>
      </c>
    </row>
    <row r="471" spans="1:9" ht="75" x14ac:dyDescent="0.2">
      <c r="A471" s="41"/>
      <c r="B471" s="61"/>
      <c r="C471" s="61"/>
      <c r="D471" s="42"/>
      <c r="E471" s="7" t="s">
        <v>88</v>
      </c>
      <c r="F471" s="66">
        <v>3590754</v>
      </c>
      <c r="G471" s="66">
        <f>2401899+788701</f>
        <v>3190600</v>
      </c>
      <c r="H471" s="66">
        <f>F471+G471</f>
        <v>6781354</v>
      </c>
    </row>
    <row r="472" spans="1:9" ht="37.5" x14ac:dyDescent="0.2">
      <c r="A472" s="41"/>
      <c r="B472" s="61"/>
      <c r="C472" s="61"/>
      <c r="D472" s="42"/>
      <c r="E472" s="7" t="s">
        <v>351</v>
      </c>
      <c r="F472" s="66">
        <v>12256698</v>
      </c>
      <c r="G472" s="66">
        <f>4527720+866</f>
        <v>4528586</v>
      </c>
      <c r="H472" s="66">
        <f>F472+G472</f>
        <v>16785284</v>
      </c>
    </row>
    <row r="473" spans="1:9" x14ac:dyDescent="0.2">
      <c r="A473" s="41"/>
      <c r="B473" s="61"/>
      <c r="C473" s="61"/>
      <c r="D473" s="42"/>
      <c r="E473" s="28" t="s">
        <v>249</v>
      </c>
      <c r="F473" s="66"/>
      <c r="G473" s="66"/>
      <c r="H473" s="66"/>
    </row>
    <row r="474" spans="1:9" ht="93.75" x14ac:dyDescent="0.2">
      <c r="A474" s="41"/>
      <c r="B474" s="61"/>
      <c r="C474" s="61"/>
      <c r="D474" s="42"/>
      <c r="E474" s="7" t="s">
        <v>311</v>
      </c>
      <c r="F474" s="66">
        <v>2378258</v>
      </c>
      <c r="G474" s="66">
        <f>-169709</f>
        <v>-169709</v>
      </c>
      <c r="H474" s="66">
        <f t="shared" si="20"/>
        <v>2208549</v>
      </c>
    </row>
    <row r="475" spans="1:9" ht="56.25" x14ac:dyDescent="0.2">
      <c r="A475" s="41"/>
      <c r="B475" s="61"/>
      <c r="C475" s="61"/>
      <c r="D475" s="42"/>
      <c r="E475" s="4" t="s">
        <v>475</v>
      </c>
      <c r="F475" s="66">
        <v>300000</v>
      </c>
      <c r="G475" s="66"/>
      <c r="H475" s="66">
        <f t="shared" si="20"/>
        <v>300000</v>
      </c>
    </row>
    <row r="476" spans="1:9" ht="56.25" x14ac:dyDescent="0.2">
      <c r="A476" s="41"/>
      <c r="B476" s="61"/>
      <c r="C476" s="61"/>
      <c r="D476" s="42"/>
      <c r="E476" s="7" t="s">
        <v>308</v>
      </c>
      <c r="F476" s="66">
        <v>2998000</v>
      </c>
      <c r="G476" s="66"/>
      <c r="H476" s="66">
        <f t="shared" si="20"/>
        <v>2998000</v>
      </c>
    </row>
    <row r="477" spans="1:9" ht="37.5" x14ac:dyDescent="0.2">
      <c r="A477" s="41"/>
      <c r="B477" s="61"/>
      <c r="C477" s="61"/>
      <c r="D477" s="42"/>
      <c r="E477" s="7" t="s">
        <v>309</v>
      </c>
      <c r="F477" s="66">
        <v>951431</v>
      </c>
      <c r="G477" s="66"/>
      <c r="H477" s="66">
        <f t="shared" si="20"/>
        <v>951431</v>
      </c>
    </row>
    <row r="478" spans="1:9" ht="37.5" x14ac:dyDescent="0.2">
      <c r="A478" s="41"/>
      <c r="B478" s="61"/>
      <c r="C478" s="61"/>
      <c r="D478" s="42"/>
      <c r="E478" s="123" t="s">
        <v>386</v>
      </c>
      <c r="F478" s="66">
        <v>2010000</v>
      </c>
      <c r="G478" s="66">
        <f>150000</f>
        <v>150000</v>
      </c>
      <c r="H478" s="66">
        <f t="shared" si="20"/>
        <v>2160000</v>
      </c>
    </row>
    <row r="479" spans="1:9" ht="56.25" x14ac:dyDescent="0.2">
      <c r="A479" s="41"/>
      <c r="B479" s="61"/>
      <c r="C479" s="61"/>
      <c r="D479" s="42"/>
      <c r="E479" s="7" t="s">
        <v>310</v>
      </c>
      <c r="F479" s="66">
        <v>48356</v>
      </c>
      <c r="G479" s="66"/>
      <c r="H479" s="66">
        <f t="shared" si="20"/>
        <v>48356</v>
      </c>
    </row>
    <row r="480" spans="1:9" ht="37.5" x14ac:dyDescent="0.2">
      <c r="A480" s="41"/>
      <c r="B480" s="61"/>
      <c r="C480" s="61"/>
      <c r="D480" s="42"/>
      <c r="E480" s="7" t="s">
        <v>307</v>
      </c>
      <c r="F480" s="66">
        <v>667756</v>
      </c>
      <c r="G480" s="66">
        <f>52515+9962</f>
        <v>62477</v>
      </c>
      <c r="H480" s="66">
        <f t="shared" si="20"/>
        <v>730233</v>
      </c>
    </row>
    <row r="481" spans="1:8" ht="37.5" x14ac:dyDescent="0.2">
      <c r="A481" s="41"/>
      <c r="B481" s="61"/>
      <c r="C481" s="61"/>
      <c r="D481" s="42"/>
      <c r="E481" s="7" t="s">
        <v>413</v>
      </c>
      <c r="F481" s="66">
        <v>598311</v>
      </c>
      <c r="G481" s="66">
        <f>-598311</f>
        <v>-598311</v>
      </c>
      <c r="H481" s="66">
        <f t="shared" si="20"/>
        <v>0</v>
      </c>
    </row>
    <row r="482" spans="1:8" ht="37.5" x14ac:dyDescent="0.2">
      <c r="A482" s="41"/>
      <c r="B482" s="61"/>
      <c r="C482" s="61"/>
      <c r="D482" s="42"/>
      <c r="E482" s="7" t="s">
        <v>206</v>
      </c>
      <c r="F482" s="66">
        <v>9170000</v>
      </c>
      <c r="G482" s="66">
        <f>4712996+398</f>
        <v>4713394</v>
      </c>
      <c r="H482" s="66">
        <f>F482+G482</f>
        <v>13883394</v>
      </c>
    </row>
    <row r="483" spans="1:8" ht="37.5" x14ac:dyDescent="0.2">
      <c r="A483" s="41"/>
      <c r="B483" s="61"/>
      <c r="C483" s="61"/>
      <c r="D483" s="42"/>
      <c r="E483" s="7" t="s">
        <v>334</v>
      </c>
      <c r="F483" s="66">
        <v>150000</v>
      </c>
      <c r="G483" s="66"/>
      <c r="H483" s="66">
        <f t="shared" si="20"/>
        <v>150000</v>
      </c>
    </row>
    <row r="484" spans="1:8" ht="37.5" x14ac:dyDescent="0.2">
      <c r="A484" s="41"/>
      <c r="B484" s="61"/>
      <c r="C484" s="61"/>
      <c r="D484" s="42"/>
      <c r="E484" s="7" t="s">
        <v>419</v>
      </c>
      <c r="F484" s="66">
        <v>2054</v>
      </c>
      <c r="G484" s="66">
        <f>1936524+63476</f>
        <v>2000000</v>
      </c>
      <c r="H484" s="66">
        <f t="shared" si="20"/>
        <v>2002054</v>
      </c>
    </row>
    <row r="485" spans="1:8" ht="37.5" x14ac:dyDescent="0.2">
      <c r="A485" s="41"/>
      <c r="B485" s="61"/>
      <c r="C485" s="61"/>
      <c r="D485" s="42"/>
      <c r="E485" s="28" t="s">
        <v>233</v>
      </c>
      <c r="F485" s="66">
        <v>0</v>
      </c>
      <c r="G485" s="66"/>
      <c r="H485" s="66">
        <f t="shared" si="20"/>
        <v>0</v>
      </c>
    </row>
    <row r="486" spans="1:8" x14ac:dyDescent="0.2">
      <c r="A486" s="41"/>
      <c r="B486" s="61"/>
      <c r="C486" s="61"/>
      <c r="D486" s="42"/>
      <c r="E486" s="7" t="s">
        <v>312</v>
      </c>
      <c r="F486" s="66">
        <v>2747177</v>
      </c>
      <c r="G486" s="66"/>
      <c r="H486" s="66">
        <f t="shared" si="20"/>
        <v>2747177</v>
      </c>
    </row>
    <row r="487" spans="1:8" x14ac:dyDescent="0.2">
      <c r="A487" s="41"/>
      <c r="B487" s="61"/>
      <c r="C487" s="61"/>
      <c r="D487" s="42"/>
      <c r="E487" s="7" t="s">
        <v>314</v>
      </c>
      <c r="F487" s="66">
        <v>1351000</v>
      </c>
      <c r="G487" s="66"/>
      <c r="H487" s="66">
        <f t="shared" si="20"/>
        <v>1351000</v>
      </c>
    </row>
    <row r="488" spans="1:8" x14ac:dyDescent="0.2">
      <c r="A488" s="41"/>
      <c r="B488" s="61"/>
      <c r="C488" s="61"/>
      <c r="D488" s="42"/>
      <c r="E488" s="7" t="s">
        <v>348</v>
      </c>
      <c r="F488" s="66">
        <v>470000</v>
      </c>
      <c r="G488" s="66"/>
      <c r="H488" s="66">
        <f t="shared" si="20"/>
        <v>470000</v>
      </c>
    </row>
    <row r="489" spans="1:8" x14ac:dyDescent="0.2">
      <c r="A489" s="41"/>
      <c r="B489" s="61"/>
      <c r="C489" s="61"/>
      <c r="D489" s="42"/>
      <c r="E489" s="7" t="s">
        <v>349</v>
      </c>
      <c r="F489" s="66">
        <v>2100000</v>
      </c>
      <c r="G489" s="66"/>
      <c r="H489" s="66">
        <f t="shared" si="20"/>
        <v>2100000</v>
      </c>
    </row>
    <row r="490" spans="1:8" x14ac:dyDescent="0.2">
      <c r="A490" s="41"/>
      <c r="B490" s="61"/>
      <c r="C490" s="61"/>
      <c r="D490" s="42"/>
      <c r="E490" s="7" t="s">
        <v>350</v>
      </c>
      <c r="F490" s="66">
        <v>2300000</v>
      </c>
      <c r="G490" s="66"/>
      <c r="H490" s="66">
        <f t="shared" si="20"/>
        <v>2300000</v>
      </c>
    </row>
    <row r="491" spans="1:8" x14ac:dyDescent="0.2">
      <c r="A491" s="41"/>
      <c r="B491" s="61"/>
      <c r="C491" s="61"/>
      <c r="D491" s="42"/>
      <c r="E491" s="7" t="s">
        <v>352</v>
      </c>
      <c r="F491" s="66">
        <v>837886</v>
      </c>
      <c r="G491" s="66"/>
      <c r="H491" s="66">
        <f t="shared" si="20"/>
        <v>837886</v>
      </c>
    </row>
    <row r="492" spans="1:8" x14ac:dyDescent="0.2">
      <c r="A492" s="41"/>
      <c r="B492" s="61"/>
      <c r="C492" s="61"/>
      <c r="D492" s="42"/>
      <c r="E492" s="7" t="s">
        <v>353</v>
      </c>
      <c r="F492" s="66">
        <v>2650000</v>
      </c>
      <c r="G492" s="66"/>
      <c r="H492" s="66">
        <f t="shared" si="20"/>
        <v>2650000</v>
      </c>
    </row>
    <row r="493" spans="1:8" x14ac:dyDescent="0.2">
      <c r="A493" s="41"/>
      <c r="B493" s="61"/>
      <c r="C493" s="61"/>
      <c r="D493" s="42"/>
      <c r="E493" s="7" t="s">
        <v>416</v>
      </c>
      <c r="F493" s="66">
        <v>120000</v>
      </c>
      <c r="G493" s="66"/>
      <c r="H493" s="66">
        <f t="shared" si="20"/>
        <v>120000</v>
      </c>
    </row>
    <row r="494" spans="1:8" x14ac:dyDescent="0.2">
      <c r="A494" s="41"/>
      <c r="B494" s="61"/>
      <c r="C494" s="61"/>
      <c r="D494" s="42"/>
      <c r="E494" s="7" t="s">
        <v>417</v>
      </c>
      <c r="F494" s="66">
        <v>3850000</v>
      </c>
      <c r="G494" s="66">
        <f>-2383394</f>
        <v>-2383394</v>
      </c>
      <c r="H494" s="66">
        <f t="shared" si="20"/>
        <v>1466606</v>
      </c>
    </row>
    <row r="495" spans="1:8" x14ac:dyDescent="0.2">
      <c r="A495" s="41"/>
      <c r="B495" s="61"/>
      <c r="C495" s="61"/>
      <c r="D495" s="42"/>
      <c r="E495" s="7" t="s">
        <v>418</v>
      </c>
      <c r="F495" s="66">
        <v>100000</v>
      </c>
      <c r="G495" s="66"/>
      <c r="H495" s="66">
        <f t="shared" si="20"/>
        <v>100000</v>
      </c>
    </row>
    <row r="496" spans="1:8" ht="37.5" x14ac:dyDescent="0.2">
      <c r="A496" s="41"/>
      <c r="B496" s="61"/>
      <c r="C496" s="61"/>
      <c r="D496" s="42"/>
      <c r="E496" s="7" t="s">
        <v>315</v>
      </c>
      <c r="F496" s="66">
        <v>299046</v>
      </c>
      <c r="G496" s="66"/>
      <c r="H496" s="66">
        <f t="shared" si="20"/>
        <v>299046</v>
      </c>
    </row>
    <row r="497" spans="1:8" x14ac:dyDescent="0.3">
      <c r="A497" s="41"/>
      <c r="B497" s="61"/>
      <c r="C497" s="61"/>
      <c r="D497" s="42"/>
      <c r="E497" s="124" t="s">
        <v>317</v>
      </c>
      <c r="F497" s="66">
        <v>2536637</v>
      </c>
      <c r="G497" s="66"/>
      <c r="H497" s="66">
        <f t="shared" si="20"/>
        <v>2536637</v>
      </c>
    </row>
    <row r="498" spans="1:8" x14ac:dyDescent="0.2">
      <c r="A498" s="41"/>
      <c r="B498" s="61"/>
      <c r="C498" s="61"/>
      <c r="D498" s="42"/>
      <c r="E498" s="7" t="s">
        <v>422</v>
      </c>
      <c r="F498" s="66">
        <v>150000</v>
      </c>
      <c r="G498" s="66"/>
      <c r="H498" s="66">
        <f t="shared" si="20"/>
        <v>150000</v>
      </c>
    </row>
    <row r="499" spans="1:8" x14ac:dyDescent="0.2">
      <c r="A499" s="41"/>
      <c r="B499" s="61"/>
      <c r="C499" s="61"/>
      <c r="D499" s="42"/>
      <c r="E499" s="7" t="s">
        <v>423</v>
      </c>
      <c r="F499" s="66">
        <v>1050000</v>
      </c>
      <c r="G499" s="66"/>
      <c r="H499" s="66">
        <f t="shared" si="20"/>
        <v>1050000</v>
      </c>
    </row>
    <row r="500" spans="1:8" x14ac:dyDescent="0.2">
      <c r="A500" s="41"/>
      <c r="B500" s="61"/>
      <c r="C500" s="61"/>
      <c r="D500" s="42"/>
      <c r="E500" s="7" t="s">
        <v>424</v>
      </c>
      <c r="F500" s="66">
        <v>249952</v>
      </c>
      <c r="G500" s="66">
        <f>-30000</f>
        <v>-30000</v>
      </c>
      <c r="H500" s="66">
        <f t="shared" si="20"/>
        <v>219952</v>
      </c>
    </row>
    <row r="501" spans="1:8" x14ac:dyDescent="0.2">
      <c r="A501" s="41"/>
      <c r="B501" s="61"/>
      <c r="C501" s="61"/>
      <c r="D501" s="42"/>
      <c r="E501" s="7" t="s">
        <v>446</v>
      </c>
      <c r="F501" s="66">
        <v>1079540</v>
      </c>
      <c r="G501" s="66">
        <f>-986800</f>
        <v>-986800</v>
      </c>
      <c r="H501" s="66">
        <f t="shared" si="20"/>
        <v>92740</v>
      </c>
    </row>
    <row r="502" spans="1:8" ht="37.5" x14ac:dyDescent="0.2">
      <c r="A502" s="41"/>
      <c r="B502" s="61"/>
      <c r="C502" s="61"/>
      <c r="D502" s="42"/>
      <c r="E502" s="7" t="s">
        <v>208</v>
      </c>
      <c r="F502" s="66">
        <v>100000</v>
      </c>
      <c r="G502" s="66"/>
      <c r="H502" s="66">
        <f t="shared" si="20"/>
        <v>100000</v>
      </c>
    </row>
    <row r="503" spans="1:8" ht="75" x14ac:dyDescent="0.2">
      <c r="A503" s="41"/>
      <c r="B503" s="61"/>
      <c r="C503" s="61"/>
      <c r="D503" s="42"/>
      <c r="E503" s="7" t="s">
        <v>209</v>
      </c>
      <c r="F503" s="66">
        <v>100000</v>
      </c>
      <c r="G503" s="66">
        <f>-31227</f>
        <v>-31227</v>
      </c>
      <c r="H503" s="66">
        <f t="shared" si="20"/>
        <v>68773</v>
      </c>
    </row>
    <row r="504" spans="1:8" ht="37.5" x14ac:dyDescent="0.2">
      <c r="A504" s="41"/>
      <c r="B504" s="61"/>
      <c r="C504" s="61"/>
      <c r="D504" s="42"/>
      <c r="E504" s="7" t="s">
        <v>84</v>
      </c>
      <c r="F504" s="66">
        <v>1000000</v>
      </c>
      <c r="G504" s="66"/>
      <c r="H504" s="66">
        <f t="shared" si="20"/>
        <v>1000000</v>
      </c>
    </row>
    <row r="505" spans="1:8" x14ac:dyDescent="0.2">
      <c r="A505" s="41"/>
      <c r="B505" s="41"/>
      <c r="C505" s="41"/>
      <c r="D505" s="42"/>
      <c r="E505" s="28" t="s">
        <v>250</v>
      </c>
      <c r="F505" s="44">
        <v>0</v>
      </c>
      <c r="G505" s="44"/>
      <c r="H505" s="66">
        <f t="shared" si="20"/>
        <v>0</v>
      </c>
    </row>
    <row r="506" spans="1:8" x14ac:dyDescent="0.2">
      <c r="A506" s="41"/>
      <c r="B506" s="41"/>
      <c r="C506" s="41"/>
      <c r="D506" s="42"/>
      <c r="E506" s="7" t="s">
        <v>512</v>
      </c>
      <c r="F506" s="44">
        <v>9000000</v>
      </c>
      <c r="G506" s="64">
        <f>14295555-9963840-2770400-834402-339000+10000000</f>
        <v>10387913</v>
      </c>
      <c r="H506" s="66">
        <f t="shared" si="20"/>
        <v>19387913</v>
      </c>
    </row>
    <row r="507" spans="1:8" ht="37.5" x14ac:dyDescent="0.2">
      <c r="A507" s="41"/>
      <c r="B507" s="61"/>
      <c r="C507" s="61"/>
      <c r="D507" s="42"/>
      <c r="E507" s="9" t="s">
        <v>333</v>
      </c>
      <c r="F507" s="66">
        <v>130000</v>
      </c>
      <c r="G507" s="66"/>
      <c r="H507" s="66">
        <f t="shared" ref="H507:H519" si="22">F507+G507</f>
        <v>130000</v>
      </c>
    </row>
    <row r="508" spans="1:8" ht="37.5" x14ac:dyDescent="0.2">
      <c r="A508" s="41"/>
      <c r="B508" s="61"/>
      <c r="C508" s="61"/>
      <c r="D508" s="42"/>
      <c r="E508" s="7" t="s">
        <v>292</v>
      </c>
      <c r="F508" s="66">
        <v>24114731</v>
      </c>
      <c r="G508" s="66">
        <f>3630908+1298946</f>
        <v>4929854</v>
      </c>
      <c r="H508" s="66">
        <f t="shared" si="22"/>
        <v>29044585</v>
      </c>
    </row>
    <row r="509" spans="1:8" ht="37.5" x14ac:dyDescent="0.2">
      <c r="A509" s="41"/>
      <c r="B509" s="61"/>
      <c r="C509" s="61"/>
      <c r="D509" s="42"/>
      <c r="E509" s="7" t="s">
        <v>390</v>
      </c>
      <c r="F509" s="66">
        <v>777692</v>
      </c>
      <c r="G509" s="66"/>
      <c r="H509" s="66">
        <f t="shared" si="22"/>
        <v>777692</v>
      </c>
    </row>
    <row r="510" spans="1:8" ht="37.5" x14ac:dyDescent="0.2">
      <c r="A510" s="41"/>
      <c r="B510" s="61"/>
      <c r="C510" s="61"/>
      <c r="D510" s="42"/>
      <c r="E510" s="7" t="s">
        <v>523</v>
      </c>
      <c r="F510" s="66"/>
      <c r="G510" s="66">
        <f>600000</f>
        <v>600000</v>
      </c>
      <c r="H510" s="66">
        <f t="shared" si="22"/>
        <v>600000</v>
      </c>
    </row>
    <row r="511" spans="1:8" ht="37.5" x14ac:dyDescent="0.2">
      <c r="A511" s="41"/>
      <c r="B511" s="61"/>
      <c r="C511" s="61"/>
      <c r="D511" s="42"/>
      <c r="E511" s="4" t="s">
        <v>476</v>
      </c>
      <c r="F511" s="66">
        <v>50000</v>
      </c>
      <c r="G511" s="66"/>
      <c r="H511" s="66">
        <f t="shared" si="22"/>
        <v>50000</v>
      </c>
    </row>
    <row r="512" spans="1:8" ht="37.5" x14ac:dyDescent="0.2">
      <c r="A512" s="41"/>
      <c r="B512" s="61"/>
      <c r="C512" s="61"/>
      <c r="D512" s="42"/>
      <c r="E512" s="4" t="s">
        <v>478</v>
      </c>
      <c r="F512" s="66">
        <v>50000</v>
      </c>
      <c r="G512" s="66"/>
      <c r="H512" s="66">
        <f t="shared" si="22"/>
        <v>50000</v>
      </c>
    </row>
    <row r="513" spans="1:8" ht="37.5" x14ac:dyDescent="0.2">
      <c r="A513" s="41"/>
      <c r="B513" s="61"/>
      <c r="C513" s="61"/>
      <c r="D513" s="42"/>
      <c r="E513" s="4" t="s">
        <v>479</v>
      </c>
      <c r="F513" s="66">
        <v>50000</v>
      </c>
      <c r="G513" s="66"/>
      <c r="H513" s="66">
        <f t="shared" si="22"/>
        <v>50000</v>
      </c>
    </row>
    <row r="514" spans="1:8" ht="37.5" x14ac:dyDescent="0.2">
      <c r="A514" s="41"/>
      <c r="B514" s="61"/>
      <c r="C514" s="61"/>
      <c r="D514" s="42"/>
      <c r="E514" s="4" t="s">
        <v>477</v>
      </c>
      <c r="F514" s="66">
        <v>50000</v>
      </c>
      <c r="G514" s="66"/>
      <c r="H514" s="66">
        <f t="shared" si="22"/>
        <v>50000</v>
      </c>
    </row>
    <row r="515" spans="1:8" ht="37.5" x14ac:dyDescent="0.2">
      <c r="A515" s="41"/>
      <c r="B515" s="61"/>
      <c r="C515" s="61"/>
      <c r="D515" s="42"/>
      <c r="E515" s="7" t="s">
        <v>421</v>
      </c>
      <c r="F515" s="66">
        <v>30890</v>
      </c>
      <c r="G515" s="66"/>
      <c r="H515" s="66">
        <f t="shared" si="22"/>
        <v>30890</v>
      </c>
    </row>
    <row r="516" spans="1:8" ht="37.5" x14ac:dyDescent="0.2">
      <c r="A516" s="41"/>
      <c r="B516" s="61"/>
      <c r="C516" s="61"/>
      <c r="D516" s="42"/>
      <c r="E516" s="7" t="s">
        <v>318</v>
      </c>
      <c r="F516" s="66">
        <v>384379</v>
      </c>
      <c r="G516" s="66"/>
      <c r="H516" s="66">
        <f t="shared" si="22"/>
        <v>384379</v>
      </c>
    </row>
    <row r="517" spans="1:8" ht="37.5" x14ac:dyDescent="0.2">
      <c r="A517" s="41"/>
      <c r="B517" s="61"/>
      <c r="C517" s="61"/>
      <c r="D517" s="42"/>
      <c r="E517" s="7" t="s">
        <v>313</v>
      </c>
      <c r="F517" s="66">
        <v>96280</v>
      </c>
      <c r="G517" s="66"/>
      <c r="H517" s="66">
        <f t="shared" si="22"/>
        <v>96280</v>
      </c>
    </row>
    <row r="518" spans="1:8" x14ac:dyDescent="0.2">
      <c r="A518" s="41"/>
      <c r="B518" s="61"/>
      <c r="C518" s="61"/>
      <c r="D518" s="42"/>
      <c r="E518" s="28" t="s">
        <v>246</v>
      </c>
      <c r="F518" s="66">
        <v>0</v>
      </c>
      <c r="G518" s="66"/>
      <c r="H518" s="66">
        <f t="shared" si="22"/>
        <v>0</v>
      </c>
    </row>
    <row r="519" spans="1:8" ht="37.5" x14ac:dyDescent="0.2">
      <c r="A519" s="41"/>
      <c r="B519" s="61"/>
      <c r="C519" s="61"/>
      <c r="D519" s="42"/>
      <c r="E519" s="7" t="s">
        <v>420</v>
      </c>
      <c r="F519" s="66">
        <v>350000</v>
      </c>
      <c r="G519" s="66"/>
      <c r="H519" s="66">
        <f t="shared" si="22"/>
        <v>350000</v>
      </c>
    </row>
    <row r="520" spans="1:8" x14ac:dyDescent="0.2">
      <c r="A520" s="41"/>
      <c r="B520" s="61"/>
      <c r="C520" s="61"/>
      <c r="D520" s="42"/>
      <c r="E520" s="28" t="s">
        <v>245</v>
      </c>
      <c r="F520" s="66"/>
      <c r="G520" s="66"/>
      <c r="H520" s="66"/>
    </row>
    <row r="521" spans="1:8" ht="37.5" x14ac:dyDescent="0.2">
      <c r="A521" s="41"/>
      <c r="B521" s="61"/>
      <c r="C521" s="61"/>
      <c r="D521" s="42"/>
      <c r="E521" s="7" t="s">
        <v>319</v>
      </c>
      <c r="F521" s="66">
        <v>492334</v>
      </c>
      <c r="G521" s="66"/>
      <c r="H521" s="66">
        <f>F521+G521</f>
        <v>492334</v>
      </c>
    </row>
    <row r="522" spans="1:8" x14ac:dyDescent="0.2">
      <c r="A522" s="41" t="s">
        <v>77</v>
      </c>
      <c r="B522" s="41" t="s">
        <v>98</v>
      </c>
      <c r="C522" s="41" t="s">
        <v>26</v>
      </c>
      <c r="D522" s="42" t="s">
        <v>89</v>
      </c>
      <c r="E522" s="38"/>
      <c r="F522" s="44">
        <f>SUM(F523:F547)</f>
        <v>11659066</v>
      </c>
      <c r="G522" s="44">
        <f>SUM(G523:G547)</f>
        <v>1146189</v>
      </c>
      <c r="H522" s="44">
        <f t="shared" si="20"/>
        <v>12805255</v>
      </c>
    </row>
    <row r="523" spans="1:8" x14ac:dyDescent="0.2">
      <c r="A523" s="41"/>
      <c r="B523" s="41"/>
      <c r="C523" s="41"/>
      <c r="D523" s="42"/>
      <c r="E523" s="29" t="s">
        <v>248</v>
      </c>
      <c r="F523" s="44"/>
      <c r="G523" s="44"/>
      <c r="H523" s="44"/>
    </row>
    <row r="524" spans="1:8" ht="37.5" x14ac:dyDescent="0.2">
      <c r="A524" s="41"/>
      <c r="B524" s="61"/>
      <c r="C524" s="61"/>
      <c r="D524" s="42"/>
      <c r="E524" s="7" t="s">
        <v>207</v>
      </c>
      <c r="F524" s="66">
        <v>100000</v>
      </c>
      <c r="G524" s="66"/>
      <c r="H524" s="66">
        <f t="shared" ref="H524:H531" si="23">F524+G524</f>
        <v>100000</v>
      </c>
    </row>
    <row r="525" spans="1:8" ht="37.5" x14ac:dyDescent="0.2">
      <c r="A525" s="41"/>
      <c r="B525" s="61"/>
      <c r="C525" s="61"/>
      <c r="D525" s="42"/>
      <c r="E525" s="7" t="s">
        <v>90</v>
      </c>
      <c r="F525" s="66">
        <v>1000000</v>
      </c>
      <c r="G525" s="66">
        <f>1000000</f>
        <v>1000000</v>
      </c>
      <c r="H525" s="66">
        <f t="shared" si="23"/>
        <v>2000000</v>
      </c>
    </row>
    <row r="526" spans="1:8" x14ac:dyDescent="0.2">
      <c r="A526" s="41"/>
      <c r="B526" s="61"/>
      <c r="C526" s="61"/>
      <c r="D526" s="42"/>
      <c r="E526" s="7" t="s">
        <v>241</v>
      </c>
      <c r="F526" s="66">
        <v>1110000</v>
      </c>
      <c r="G526" s="66"/>
      <c r="H526" s="66">
        <f t="shared" si="23"/>
        <v>1110000</v>
      </c>
    </row>
    <row r="527" spans="1:8" x14ac:dyDescent="0.2">
      <c r="A527" s="41"/>
      <c r="B527" s="61"/>
      <c r="C527" s="61"/>
      <c r="D527" s="42"/>
      <c r="E527" s="7" t="s">
        <v>242</v>
      </c>
      <c r="F527" s="66">
        <v>1150000</v>
      </c>
      <c r="G527" s="66"/>
      <c r="H527" s="66">
        <f t="shared" si="23"/>
        <v>1150000</v>
      </c>
    </row>
    <row r="528" spans="1:8" ht="56.25" x14ac:dyDescent="0.2">
      <c r="A528" s="41"/>
      <c r="B528" s="61"/>
      <c r="C528" s="61"/>
      <c r="D528" s="42"/>
      <c r="E528" s="7" t="s">
        <v>240</v>
      </c>
      <c r="F528" s="66">
        <v>200000</v>
      </c>
      <c r="G528" s="66"/>
      <c r="H528" s="66">
        <f t="shared" si="23"/>
        <v>200000</v>
      </c>
    </row>
    <row r="529" spans="1:8" x14ac:dyDescent="0.2">
      <c r="A529" s="41"/>
      <c r="B529" s="61"/>
      <c r="C529" s="61"/>
      <c r="D529" s="42"/>
      <c r="E529" s="7" t="s">
        <v>323</v>
      </c>
      <c r="F529" s="66">
        <v>9233</v>
      </c>
      <c r="G529" s="66"/>
      <c r="H529" s="66">
        <f t="shared" si="23"/>
        <v>9233</v>
      </c>
    </row>
    <row r="530" spans="1:8" ht="37.5" x14ac:dyDescent="0.2">
      <c r="A530" s="41"/>
      <c r="B530" s="61"/>
      <c r="C530" s="61"/>
      <c r="D530" s="42"/>
      <c r="E530" s="7" t="s">
        <v>321</v>
      </c>
      <c r="F530" s="66">
        <v>259454</v>
      </c>
      <c r="G530" s="66"/>
      <c r="H530" s="66">
        <f t="shared" si="23"/>
        <v>259454</v>
      </c>
    </row>
    <row r="531" spans="1:8" ht="37.5" x14ac:dyDescent="0.2">
      <c r="A531" s="41"/>
      <c r="B531" s="61"/>
      <c r="C531" s="61"/>
      <c r="D531" s="42"/>
      <c r="E531" s="7" t="s">
        <v>320</v>
      </c>
      <c r="F531" s="66">
        <v>71576</v>
      </c>
      <c r="G531" s="66"/>
      <c r="H531" s="66">
        <f t="shared" si="23"/>
        <v>71576</v>
      </c>
    </row>
    <row r="532" spans="1:8" x14ac:dyDescent="0.2">
      <c r="A532" s="41"/>
      <c r="B532" s="41"/>
      <c r="C532" s="41"/>
      <c r="D532" s="42"/>
      <c r="E532" s="29" t="s">
        <v>251</v>
      </c>
      <c r="F532" s="44"/>
      <c r="G532" s="44"/>
      <c r="H532" s="44"/>
    </row>
    <row r="533" spans="1:8" x14ac:dyDescent="0.2">
      <c r="A533" s="41"/>
      <c r="B533" s="61"/>
      <c r="C533" s="61"/>
      <c r="D533" s="42"/>
      <c r="E533" s="7" t="s">
        <v>231</v>
      </c>
      <c r="F533" s="66">
        <v>167000</v>
      </c>
      <c r="G533" s="66">
        <f>-48000</f>
        <v>-48000</v>
      </c>
      <c r="H533" s="66">
        <f t="shared" ref="H533:H544" si="24">F533+G533</f>
        <v>119000</v>
      </c>
    </row>
    <row r="534" spans="1:8" ht="56.25" x14ac:dyDescent="0.2">
      <c r="A534" s="41"/>
      <c r="B534" s="61"/>
      <c r="C534" s="61"/>
      <c r="D534" s="42"/>
      <c r="E534" s="7" t="s">
        <v>425</v>
      </c>
      <c r="F534" s="66">
        <v>524000</v>
      </c>
      <c r="G534" s="66"/>
      <c r="H534" s="66">
        <f t="shared" si="24"/>
        <v>524000</v>
      </c>
    </row>
    <row r="535" spans="1:8" ht="37.5" x14ac:dyDescent="0.2">
      <c r="A535" s="41"/>
      <c r="B535" s="61"/>
      <c r="C535" s="61"/>
      <c r="D535" s="42"/>
      <c r="E535" s="7" t="s">
        <v>426</v>
      </c>
      <c r="F535" s="66">
        <v>239000</v>
      </c>
      <c r="G535" s="66"/>
      <c r="H535" s="66">
        <f t="shared" si="24"/>
        <v>239000</v>
      </c>
    </row>
    <row r="536" spans="1:8" ht="37.5" x14ac:dyDescent="0.2">
      <c r="A536" s="41"/>
      <c r="B536" s="61"/>
      <c r="C536" s="61"/>
      <c r="D536" s="42"/>
      <c r="E536" s="7" t="s">
        <v>427</v>
      </c>
      <c r="F536" s="66">
        <v>1350000</v>
      </c>
      <c r="G536" s="66">
        <f>-10000</f>
        <v>-10000</v>
      </c>
      <c r="H536" s="66">
        <f t="shared" si="24"/>
        <v>1340000</v>
      </c>
    </row>
    <row r="537" spans="1:8" ht="37.5" x14ac:dyDescent="0.2">
      <c r="A537" s="41"/>
      <c r="B537" s="61"/>
      <c r="C537" s="61"/>
      <c r="D537" s="42"/>
      <c r="E537" s="7" t="s">
        <v>524</v>
      </c>
      <c r="F537" s="66"/>
      <c r="G537" s="66">
        <f>5000</f>
        <v>5000</v>
      </c>
      <c r="H537" s="66">
        <f t="shared" si="24"/>
        <v>5000</v>
      </c>
    </row>
    <row r="538" spans="1:8" ht="37.5" x14ac:dyDescent="0.2">
      <c r="A538" s="41"/>
      <c r="B538" s="61"/>
      <c r="C538" s="61"/>
      <c r="D538" s="42"/>
      <c r="E538" s="7" t="s">
        <v>525</v>
      </c>
      <c r="F538" s="66"/>
      <c r="G538" s="66">
        <f>5000</f>
        <v>5000</v>
      </c>
      <c r="H538" s="66">
        <f t="shared" si="24"/>
        <v>5000</v>
      </c>
    </row>
    <row r="539" spans="1:8" ht="37.5" x14ac:dyDescent="0.2">
      <c r="A539" s="41"/>
      <c r="B539" s="61"/>
      <c r="C539" s="61"/>
      <c r="D539" s="42"/>
      <c r="E539" s="7" t="s">
        <v>428</v>
      </c>
      <c r="F539" s="66">
        <v>300000</v>
      </c>
      <c r="G539" s="66"/>
      <c r="H539" s="66">
        <f t="shared" si="24"/>
        <v>300000</v>
      </c>
    </row>
    <row r="540" spans="1:8" ht="37.5" x14ac:dyDescent="0.2">
      <c r="A540" s="41"/>
      <c r="B540" s="61"/>
      <c r="C540" s="61"/>
      <c r="D540" s="42"/>
      <c r="E540" s="7" t="s">
        <v>429</v>
      </c>
      <c r="F540" s="66">
        <v>125000</v>
      </c>
      <c r="G540" s="66"/>
      <c r="H540" s="66">
        <f t="shared" si="24"/>
        <v>125000</v>
      </c>
    </row>
    <row r="541" spans="1:8" ht="56.25" x14ac:dyDescent="0.2">
      <c r="A541" s="41"/>
      <c r="B541" s="61"/>
      <c r="C541" s="61"/>
      <c r="D541" s="42"/>
      <c r="E541" s="7" t="s">
        <v>325</v>
      </c>
      <c r="F541" s="66">
        <v>337940</v>
      </c>
      <c r="G541" s="66"/>
      <c r="H541" s="66">
        <f t="shared" si="24"/>
        <v>337940</v>
      </c>
    </row>
    <row r="542" spans="1:8" ht="37.5" x14ac:dyDescent="0.2">
      <c r="A542" s="41"/>
      <c r="B542" s="61"/>
      <c r="C542" s="61"/>
      <c r="D542" s="42"/>
      <c r="E542" s="7" t="s">
        <v>526</v>
      </c>
      <c r="F542" s="66"/>
      <c r="G542" s="66">
        <f>300000</f>
        <v>300000</v>
      </c>
      <c r="H542" s="66">
        <f t="shared" si="24"/>
        <v>300000</v>
      </c>
    </row>
    <row r="543" spans="1:8" ht="37.5" x14ac:dyDescent="0.2">
      <c r="A543" s="41"/>
      <c r="B543" s="61"/>
      <c r="C543" s="61"/>
      <c r="D543" s="42"/>
      <c r="E543" s="7" t="s">
        <v>324</v>
      </c>
      <c r="F543" s="66">
        <v>558926</v>
      </c>
      <c r="G543" s="66"/>
      <c r="H543" s="66">
        <f t="shared" si="24"/>
        <v>558926</v>
      </c>
    </row>
    <row r="544" spans="1:8" ht="37.5" x14ac:dyDescent="0.2">
      <c r="A544" s="41"/>
      <c r="B544" s="61"/>
      <c r="C544" s="61"/>
      <c r="D544" s="42"/>
      <c r="E544" s="7" t="s">
        <v>322</v>
      </c>
      <c r="F544" s="66">
        <v>1408200</v>
      </c>
      <c r="G544" s="66"/>
      <c r="H544" s="66">
        <f t="shared" si="24"/>
        <v>1408200</v>
      </c>
    </row>
    <row r="545" spans="1:8" x14ac:dyDescent="0.2">
      <c r="A545" s="41"/>
      <c r="B545" s="61"/>
      <c r="C545" s="61"/>
      <c r="D545" s="42"/>
      <c r="E545" s="28" t="s">
        <v>247</v>
      </c>
      <c r="F545" s="66"/>
      <c r="G545" s="66"/>
      <c r="H545" s="66"/>
    </row>
    <row r="546" spans="1:8" x14ac:dyDescent="0.2">
      <c r="A546" s="41"/>
      <c r="B546" s="61"/>
      <c r="C546" s="61"/>
      <c r="D546" s="42"/>
      <c r="E546" s="7" t="s">
        <v>91</v>
      </c>
      <c r="F546" s="66">
        <v>2508387</v>
      </c>
      <c r="G546" s="66">
        <f>11227</f>
        <v>11227</v>
      </c>
      <c r="H546" s="66">
        <f>F546+G546</f>
        <v>2519614</v>
      </c>
    </row>
    <row r="547" spans="1:8" ht="37.5" x14ac:dyDescent="0.2">
      <c r="A547" s="41"/>
      <c r="B547" s="61"/>
      <c r="C547" s="61"/>
      <c r="D547" s="42"/>
      <c r="E547" s="7" t="s">
        <v>306</v>
      </c>
      <c r="F547" s="66">
        <v>240350</v>
      </c>
      <c r="G547" s="66">
        <f>-117038</f>
        <v>-117038</v>
      </c>
      <c r="H547" s="66">
        <f>F547+G547</f>
        <v>123312</v>
      </c>
    </row>
    <row r="548" spans="1:8" x14ac:dyDescent="0.2">
      <c r="A548" s="41" t="s">
        <v>201</v>
      </c>
      <c r="B548" s="41" t="s">
        <v>202</v>
      </c>
      <c r="C548" s="41" t="s">
        <v>26</v>
      </c>
      <c r="D548" s="42" t="s">
        <v>203</v>
      </c>
      <c r="E548" s="38"/>
      <c r="F548" s="44">
        <f>SUM(F549:F556)</f>
        <v>3945809</v>
      </c>
      <c r="G548" s="44">
        <f>SUM(G549:G556)</f>
        <v>0</v>
      </c>
      <c r="H548" s="44">
        <f t="shared" si="20"/>
        <v>3945809</v>
      </c>
    </row>
    <row r="549" spans="1:8" ht="56.25" x14ac:dyDescent="0.2">
      <c r="A549" s="41"/>
      <c r="B549" s="61"/>
      <c r="C549" s="61"/>
      <c r="D549" s="42"/>
      <c r="E549" s="7" t="s">
        <v>326</v>
      </c>
      <c r="F549" s="66">
        <v>695188</v>
      </c>
      <c r="G549" s="66"/>
      <c r="H549" s="64">
        <f t="shared" ref="H549:H610" si="25">F549+G549</f>
        <v>695188</v>
      </c>
    </row>
    <row r="550" spans="1:8" x14ac:dyDescent="0.2">
      <c r="A550" s="54"/>
      <c r="B550" s="61"/>
      <c r="C550" s="61"/>
      <c r="D550" s="55"/>
      <c r="E550" s="91" t="s">
        <v>199</v>
      </c>
      <c r="F550" s="64">
        <v>0</v>
      </c>
      <c r="G550" s="64"/>
      <c r="H550" s="64">
        <f t="shared" si="25"/>
        <v>0</v>
      </c>
    </row>
    <row r="551" spans="1:8" x14ac:dyDescent="0.2">
      <c r="A551" s="54"/>
      <c r="B551" s="61"/>
      <c r="C551" s="61"/>
      <c r="D551" s="55"/>
      <c r="E551" s="91" t="s">
        <v>327</v>
      </c>
      <c r="F551" s="64">
        <v>1400000</v>
      </c>
      <c r="G551" s="64"/>
      <c r="H551" s="64">
        <f t="shared" si="25"/>
        <v>1400000</v>
      </c>
    </row>
    <row r="552" spans="1:8" ht="37.5" x14ac:dyDescent="0.2">
      <c r="A552" s="54"/>
      <c r="B552" s="61"/>
      <c r="C552" s="61"/>
      <c r="D552" s="55"/>
      <c r="E552" s="91" t="s">
        <v>432</v>
      </c>
      <c r="F552" s="64">
        <v>150000</v>
      </c>
      <c r="G552" s="64"/>
      <c r="H552" s="64">
        <f t="shared" si="25"/>
        <v>150000</v>
      </c>
    </row>
    <row r="553" spans="1:8" ht="56.25" x14ac:dyDescent="0.2">
      <c r="A553" s="54"/>
      <c r="B553" s="61"/>
      <c r="C553" s="61"/>
      <c r="D553" s="55"/>
      <c r="E553" s="91" t="s">
        <v>455</v>
      </c>
      <c r="F553" s="64">
        <v>316567</v>
      </c>
      <c r="G553" s="64"/>
      <c r="H553" s="64">
        <f t="shared" si="25"/>
        <v>316567</v>
      </c>
    </row>
    <row r="554" spans="1:8" ht="56.25" x14ac:dyDescent="0.2">
      <c r="A554" s="54"/>
      <c r="B554" s="61"/>
      <c r="C554" s="61"/>
      <c r="D554" s="55"/>
      <c r="E554" s="91" t="s">
        <v>328</v>
      </c>
      <c r="F554" s="64">
        <v>2700</v>
      </c>
      <c r="G554" s="64"/>
      <c r="H554" s="64">
        <f t="shared" si="25"/>
        <v>2700</v>
      </c>
    </row>
    <row r="555" spans="1:8" ht="93.75" x14ac:dyDescent="0.2">
      <c r="A555" s="54"/>
      <c r="B555" s="61"/>
      <c r="C555" s="61"/>
      <c r="D555" s="55"/>
      <c r="E555" s="7" t="s">
        <v>450</v>
      </c>
      <c r="F555" s="64">
        <v>300000</v>
      </c>
      <c r="G555" s="64"/>
      <c r="H555" s="64">
        <f t="shared" si="25"/>
        <v>300000</v>
      </c>
    </row>
    <row r="556" spans="1:8" ht="56.25" x14ac:dyDescent="0.2">
      <c r="A556" s="41"/>
      <c r="B556" s="61"/>
      <c r="C556" s="61"/>
      <c r="D556" s="42"/>
      <c r="E556" s="7" t="s">
        <v>200</v>
      </c>
      <c r="F556" s="64">
        <v>1081354</v>
      </c>
      <c r="G556" s="64"/>
      <c r="H556" s="64">
        <f t="shared" si="25"/>
        <v>1081354</v>
      </c>
    </row>
    <row r="557" spans="1:8" x14ac:dyDescent="0.2">
      <c r="A557" s="41" t="s">
        <v>78</v>
      </c>
      <c r="B557" s="41" t="s">
        <v>99</v>
      </c>
      <c r="C557" s="41" t="s">
        <v>26</v>
      </c>
      <c r="D557" s="42" t="s">
        <v>92</v>
      </c>
      <c r="E557" s="28"/>
      <c r="F557" s="44">
        <f>SUM(F558:F562)</f>
        <v>8667495</v>
      </c>
      <c r="G557" s="44">
        <f>SUM(G558:G562)</f>
        <v>785508</v>
      </c>
      <c r="H557" s="44">
        <f t="shared" si="25"/>
        <v>9453003</v>
      </c>
    </row>
    <row r="558" spans="1:8" ht="37.5" x14ac:dyDescent="0.2">
      <c r="A558" s="41"/>
      <c r="B558" s="61"/>
      <c r="C558" s="61"/>
      <c r="D558" s="42"/>
      <c r="E558" s="70" t="s">
        <v>329</v>
      </c>
      <c r="F558" s="66">
        <v>3525178</v>
      </c>
      <c r="G558" s="66"/>
      <c r="H558" s="66">
        <f t="shared" si="25"/>
        <v>3525178</v>
      </c>
    </row>
    <row r="559" spans="1:8" ht="37.5" x14ac:dyDescent="0.2">
      <c r="A559" s="41"/>
      <c r="B559" s="61"/>
      <c r="C559" s="61"/>
      <c r="D559" s="42"/>
      <c r="E559" s="70" t="s">
        <v>234</v>
      </c>
      <c r="F559" s="66">
        <v>200000</v>
      </c>
      <c r="G559" s="66"/>
      <c r="H559" s="66">
        <f t="shared" si="25"/>
        <v>200000</v>
      </c>
    </row>
    <row r="560" spans="1:8" x14ac:dyDescent="0.2">
      <c r="A560" s="41"/>
      <c r="B560" s="61"/>
      <c r="C560" s="61"/>
      <c r="D560" s="42"/>
      <c r="E560" s="28" t="s">
        <v>247</v>
      </c>
      <c r="F560" s="66"/>
      <c r="G560" s="66"/>
      <c r="H560" s="66"/>
    </row>
    <row r="561" spans="1:8" ht="37.5" x14ac:dyDescent="0.2">
      <c r="A561" s="41"/>
      <c r="B561" s="61"/>
      <c r="C561" s="61"/>
      <c r="D561" s="42"/>
      <c r="E561" s="70" t="s">
        <v>232</v>
      </c>
      <c r="F561" s="66">
        <v>1500000</v>
      </c>
      <c r="G561" s="66"/>
      <c r="H561" s="66">
        <f t="shared" si="25"/>
        <v>1500000</v>
      </c>
    </row>
    <row r="562" spans="1:8" ht="37.5" x14ac:dyDescent="0.2">
      <c r="A562" s="41"/>
      <c r="B562" s="61"/>
      <c r="C562" s="61"/>
      <c r="D562" s="42"/>
      <c r="E562" s="70" t="s">
        <v>430</v>
      </c>
      <c r="F562" s="66">
        <v>3442317</v>
      </c>
      <c r="G562" s="66">
        <f>785508</f>
        <v>785508</v>
      </c>
      <c r="H562" s="66">
        <f t="shared" si="25"/>
        <v>4227825</v>
      </c>
    </row>
    <row r="563" spans="1:8" ht="37.5" x14ac:dyDescent="0.2">
      <c r="A563" s="41" t="s">
        <v>79</v>
      </c>
      <c r="B563" s="41" t="s">
        <v>100</v>
      </c>
      <c r="C563" s="41" t="s">
        <v>26</v>
      </c>
      <c r="D563" s="42" t="s">
        <v>93</v>
      </c>
      <c r="E563" s="67"/>
      <c r="F563" s="71">
        <f>SUM(F564:F565)</f>
        <v>775000</v>
      </c>
      <c r="G563" s="71">
        <f>SUM(G564:G565)</f>
        <v>0</v>
      </c>
      <c r="H563" s="71">
        <f t="shared" si="25"/>
        <v>775000</v>
      </c>
    </row>
    <row r="564" spans="1:8" x14ac:dyDescent="0.2">
      <c r="A564" s="41"/>
      <c r="B564" s="61"/>
      <c r="C564" s="61"/>
      <c r="D564" s="42"/>
      <c r="E564" s="7" t="s">
        <v>94</v>
      </c>
      <c r="F564" s="66">
        <v>465000</v>
      </c>
      <c r="G564" s="66"/>
      <c r="H564" s="66">
        <f t="shared" si="25"/>
        <v>465000</v>
      </c>
    </row>
    <row r="565" spans="1:8" ht="37.5" x14ac:dyDescent="0.2">
      <c r="A565" s="41"/>
      <c r="B565" s="61"/>
      <c r="C565" s="61"/>
      <c r="D565" s="42"/>
      <c r="E565" s="7" t="s">
        <v>431</v>
      </c>
      <c r="F565" s="66">
        <v>310000</v>
      </c>
      <c r="G565" s="66"/>
      <c r="H565" s="66">
        <f t="shared" si="25"/>
        <v>310000</v>
      </c>
    </row>
    <row r="566" spans="1:8" ht="37.5" x14ac:dyDescent="0.2">
      <c r="A566" s="41" t="s">
        <v>80</v>
      </c>
      <c r="B566" s="41" t="s">
        <v>55</v>
      </c>
      <c r="C566" s="41" t="s">
        <v>26</v>
      </c>
      <c r="D566" s="42" t="s">
        <v>95</v>
      </c>
      <c r="E566" s="28"/>
      <c r="F566" s="56">
        <f>SUM(F567:F568)</f>
        <v>13678319</v>
      </c>
      <c r="G566" s="56">
        <f>SUM(G567:G568)</f>
        <v>-100000</v>
      </c>
      <c r="H566" s="56">
        <f t="shared" si="25"/>
        <v>13578319</v>
      </c>
    </row>
    <row r="567" spans="1:8" ht="75" x14ac:dyDescent="0.2">
      <c r="A567" s="41"/>
      <c r="B567" s="61"/>
      <c r="C567" s="61"/>
      <c r="D567" s="42"/>
      <c r="E567" s="7" t="s">
        <v>330</v>
      </c>
      <c r="F567" s="66">
        <v>450000</v>
      </c>
      <c r="G567" s="66"/>
      <c r="H567" s="66">
        <f t="shared" si="25"/>
        <v>450000</v>
      </c>
    </row>
    <row r="568" spans="1:8" ht="37.5" x14ac:dyDescent="0.2">
      <c r="A568" s="41"/>
      <c r="B568" s="61"/>
      <c r="C568" s="61"/>
      <c r="D568" s="42"/>
      <c r="E568" s="125" t="s">
        <v>215</v>
      </c>
      <c r="F568" s="66">
        <v>13228319</v>
      </c>
      <c r="G568" s="66">
        <f>-100000</f>
        <v>-100000</v>
      </c>
      <c r="H568" s="66">
        <f t="shared" si="25"/>
        <v>13128319</v>
      </c>
    </row>
    <row r="569" spans="1:8" ht="37.5" x14ac:dyDescent="0.2">
      <c r="A569" s="41" t="s">
        <v>81</v>
      </c>
      <c r="B569" s="41" t="s">
        <v>57</v>
      </c>
      <c r="C569" s="41" t="s">
        <v>26</v>
      </c>
      <c r="D569" s="42" t="s">
        <v>58</v>
      </c>
      <c r="E569" s="72"/>
      <c r="F569" s="56">
        <f>SUM(F570:F572)</f>
        <v>2613771</v>
      </c>
      <c r="G569" s="56">
        <f>SUM(G570:G572)</f>
        <v>2363230</v>
      </c>
      <c r="H569" s="56">
        <f t="shared" si="25"/>
        <v>4977001</v>
      </c>
    </row>
    <row r="570" spans="1:8" ht="75" x14ac:dyDescent="0.2">
      <c r="A570" s="41"/>
      <c r="B570" s="61"/>
      <c r="C570" s="61"/>
      <c r="D570" s="42"/>
      <c r="E570" s="7" t="s">
        <v>444</v>
      </c>
      <c r="F570" s="66">
        <v>1500000</v>
      </c>
      <c r="G570" s="66">
        <f>500000</f>
        <v>500000</v>
      </c>
      <c r="H570" s="66">
        <f t="shared" si="25"/>
        <v>2000000</v>
      </c>
    </row>
    <row r="571" spans="1:8" ht="56.25" x14ac:dyDescent="0.2">
      <c r="A571" s="41"/>
      <c r="B571" s="61"/>
      <c r="C571" s="61"/>
      <c r="D571" s="42"/>
      <c r="E571" s="7" t="s">
        <v>396</v>
      </c>
      <c r="F571" s="66">
        <v>300000</v>
      </c>
      <c r="G571" s="66">
        <f>22000</f>
        <v>22000</v>
      </c>
      <c r="H571" s="66">
        <f t="shared" si="25"/>
        <v>322000</v>
      </c>
    </row>
    <row r="572" spans="1:8" ht="37.5" x14ac:dyDescent="0.2">
      <c r="A572" s="41"/>
      <c r="B572" s="61"/>
      <c r="C572" s="61"/>
      <c r="D572" s="42"/>
      <c r="E572" s="7" t="s">
        <v>331</v>
      </c>
      <c r="F572" s="66">
        <v>813771</v>
      </c>
      <c r="G572" s="66">
        <f>1100000+741230</f>
        <v>1841230</v>
      </c>
      <c r="H572" s="66">
        <f t="shared" si="25"/>
        <v>2655001</v>
      </c>
    </row>
    <row r="573" spans="1:8" ht="37.5" x14ac:dyDescent="0.2">
      <c r="A573" s="41" t="s">
        <v>101</v>
      </c>
      <c r="B573" s="41" t="s">
        <v>102</v>
      </c>
      <c r="C573" s="41" t="s">
        <v>9</v>
      </c>
      <c r="D573" s="42" t="s">
        <v>103</v>
      </c>
      <c r="E573" s="38"/>
      <c r="F573" s="56">
        <f>SUM(F574:F576)</f>
        <v>2913999</v>
      </c>
      <c r="G573" s="56">
        <f>SUM(G574:G576)</f>
        <v>2050000</v>
      </c>
      <c r="H573" s="56">
        <f t="shared" si="25"/>
        <v>4963999</v>
      </c>
    </row>
    <row r="574" spans="1:8" x14ac:dyDescent="0.2">
      <c r="A574" s="41"/>
      <c r="B574" s="41"/>
      <c r="C574" s="74"/>
      <c r="D574" s="74"/>
      <c r="E574" s="34" t="s">
        <v>104</v>
      </c>
      <c r="F574" s="66">
        <v>2670000</v>
      </c>
      <c r="G574" s="66">
        <f>2150000-200000+100000</f>
        <v>2050000</v>
      </c>
      <c r="H574" s="66">
        <f t="shared" si="25"/>
        <v>4720000</v>
      </c>
    </row>
    <row r="575" spans="1:8" ht="37.5" x14ac:dyDescent="0.2">
      <c r="A575" s="61"/>
      <c r="B575" s="61"/>
      <c r="C575" s="61"/>
      <c r="D575" s="61"/>
      <c r="E575" s="83" t="s">
        <v>275</v>
      </c>
      <c r="F575" s="66">
        <v>199999</v>
      </c>
      <c r="G575" s="66"/>
      <c r="H575" s="66">
        <f t="shared" si="25"/>
        <v>199999</v>
      </c>
    </row>
    <row r="576" spans="1:8" x14ac:dyDescent="0.2">
      <c r="A576" s="33"/>
      <c r="B576" s="33"/>
      <c r="C576" s="33"/>
      <c r="D576" s="37"/>
      <c r="E576" s="83" t="s">
        <v>361</v>
      </c>
      <c r="F576" s="66">
        <v>44000</v>
      </c>
      <c r="G576" s="66"/>
      <c r="H576" s="66">
        <f t="shared" si="25"/>
        <v>44000</v>
      </c>
    </row>
    <row r="577" spans="1:19" s="53" customFormat="1" ht="37.5" x14ac:dyDescent="0.2">
      <c r="A577" s="33" t="s">
        <v>1</v>
      </c>
      <c r="B577" s="33"/>
      <c r="C577" s="33"/>
      <c r="D577" s="33" t="s">
        <v>2</v>
      </c>
      <c r="E577" s="37"/>
      <c r="F577" s="51">
        <f>F592+F590+F583+F579+F585+F588</f>
        <v>5438212</v>
      </c>
      <c r="G577" s="51">
        <f>G592+G590+G583+G579+G585+G588</f>
        <v>1823200</v>
      </c>
      <c r="H577" s="51">
        <f t="shared" si="25"/>
        <v>7261412</v>
      </c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</row>
    <row r="578" spans="1:19" s="53" customFormat="1" ht="37.5" x14ac:dyDescent="0.2">
      <c r="A578" s="33" t="s">
        <v>3</v>
      </c>
      <c r="B578" s="33"/>
      <c r="C578" s="33"/>
      <c r="D578" s="58" t="s">
        <v>2</v>
      </c>
      <c r="E578" s="37"/>
      <c r="F578" s="51"/>
      <c r="G578" s="51"/>
      <c r="H578" s="51">
        <f t="shared" si="25"/>
        <v>0</v>
      </c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</row>
    <row r="579" spans="1:19" s="87" customFormat="1" ht="56.25" x14ac:dyDescent="0.2">
      <c r="A579" s="41" t="s">
        <v>54</v>
      </c>
      <c r="B579" s="54" t="s">
        <v>4</v>
      </c>
      <c r="C579" s="54" t="s">
        <v>5</v>
      </c>
      <c r="D579" s="55" t="s">
        <v>6</v>
      </c>
      <c r="E579" s="83"/>
      <c r="F579" s="56">
        <f>SUM(F580:F582)</f>
        <v>366119</v>
      </c>
      <c r="G579" s="56">
        <f>SUM(G580:G582)</f>
        <v>61530</v>
      </c>
      <c r="H579" s="56">
        <f t="shared" si="25"/>
        <v>427649</v>
      </c>
      <c r="I579" s="126"/>
      <c r="J579" s="86"/>
      <c r="K579" s="86"/>
      <c r="L579" s="86"/>
      <c r="M579" s="86"/>
      <c r="N579" s="86"/>
      <c r="O579" s="86"/>
      <c r="P579" s="86"/>
      <c r="Q579" s="86"/>
      <c r="R579" s="86"/>
      <c r="S579" s="86"/>
    </row>
    <row r="580" spans="1:19" ht="37.5" x14ac:dyDescent="0.2">
      <c r="A580" s="61"/>
      <c r="B580" s="61"/>
      <c r="C580" s="61"/>
      <c r="D580" s="61"/>
      <c r="E580" s="8" t="s">
        <v>362</v>
      </c>
      <c r="F580" s="66">
        <v>67000</v>
      </c>
      <c r="G580" s="66">
        <f>10930</f>
        <v>10930</v>
      </c>
      <c r="H580" s="66">
        <f t="shared" si="25"/>
        <v>77930</v>
      </c>
    </row>
    <row r="581" spans="1:19" ht="37.5" x14ac:dyDescent="0.2">
      <c r="A581" s="61"/>
      <c r="B581" s="61"/>
      <c r="C581" s="61"/>
      <c r="D581" s="61"/>
      <c r="E581" s="8" t="s">
        <v>460</v>
      </c>
      <c r="F581" s="66">
        <v>162748</v>
      </c>
      <c r="G581" s="66">
        <f>50600</f>
        <v>50600</v>
      </c>
      <c r="H581" s="66">
        <f t="shared" si="25"/>
        <v>213348</v>
      </c>
    </row>
    <row r="582" spans="1:19" ht="56.25" x14ac:dyDescent="0.2">
      <c r="A582" s="61"/>
      <c r="B582" s="61"/>
      <c r="C582" s="61"/>
      <c r="D582" s="61"/>
      <c r="E582" s="8" t="s">
        <v>225</v>
      </c>
      <c r="F582" s="66">
        <v>136371</v>
      </c>
      <c r="G582" s="66"/>
      <c r="H582" s="66">
        <f t="shared" si="25"/>
        <v>136371</v>
      </c>
    </row>
    <row r="583" spans="1:19" x14ac:dyDescent="0.2">
      <c r="A583" s="41" t="s">
        <v>451</v>
      </c>
      <c r="B583" s="54" t="s">
        <v>35</v>
      </c>
      <c r="C583" s="54" t="s">
        <v>36</v>
      </c>
      <c r="D583" s="55" t="s">
        <v>37</v>
      </c>
      <c r="E583" s="83"/>
      <c r="F583" s="56">
        <f>SUM(F584)</f>
        <v>750639</v>
      </c>
      <c r="G583" s="56">
        <f>SUM(G584)</f>
        <v>0</v>
      </c>
      <c r="H583" s="56">
        <f t="shared" si="25"/>
        <v>750639</v>
      </c>
    </row>
    <row r="584" spans="1:19" ht="37.5" x14ac:dyDescent="0.2">
      <c r="A584" s="61"/>
      <c r="B584" s="61"/>
      <c r="C584" s="61"/>
      <c r="D584" s="61"/>
      <c r="E584" s="8" t="s">
        <v>452</v>
      </c>
      <c r="F584" s="66">
        <f>750639</f>
        <v>750639</v>
      </c>
      <c r="G584" s="66"/>
      <c r="H584" s="66">
        <f t="shared" si="25"/>
        <v>750639</v>
      </c>
    </row>
    <row r="585" spans="1:19" ht="37.5" x14ac:dyDescent="0.2">
      <c r="A585" s="41" t="s">
        <v>480</v>
      </c>
      <c r="B585" s="41" t="s">
        <v>25</v>
      </c>
      <c r="C585" s="41" t="s">
        <v>26</v>
      </c>
      <c r="D585" s="42" t="s">
        <v>22</v>
      </c>
      <c r="E585" s="8"/>
      <c r="F585" s="66">
        <f>SUM(F586:F587)</f>
        <v>100000</v>
      </c>
      <c r="G585" s="66">
        <f>SUM(G586:G587)</f>
        <v>116500</v>
      </c>
      <c r="H585" s="56">
        <f t="shared" si="25"/>
        <v>216500</v>
      </c>
    </row>
    <row r="586" spans="1:19" ht="37.5" x14ac:dyDescent="0.2">
      <c r="A586" s="61"/>
      <c r="B586" s="61"/>
      <c r="C586" s="61"/>
      <c r="D586" s="61"/>
      <c r="E586" s="3" t="s">
        <v>481</v>
      </c>
      <c r="F586" s="66">
        <v>100000</v>
      </c>
      <c r="G586" s="66">
        <f>67300</f>
        <v>67300</v>
      </c>
      <c r="H586" s="66">
        <f t="shared" si="25"/>
        <v>167300</v>
      </c>
    </row>
    <row r="587" spans="1:19" ht="37.5" x14ac:dyDescent="0.2">
      <c r="A587" s="61"/>
      <c r="B587" s="61"/>
      <c r="C587" s="61"/>
      <c r="D587" s="61"/>
      <c r="E587" s="8" t="s">
        <v>527</v>
      </c>
      <c r="F587" s="66"/>
      <c r="G587" s="66">
        <f>49200</f>
        <v>49200</v>
      </c>
      <c r="H587" s="66">
        <f t="shared" si="25"/>
        <v>49200</v>
      </c>
    </row>
    <row r="588" spans="1:19" ht="37.5" x14ac:dyDescent="0.2">
      <c r="A588" s="41" t="s">
        <v>482</v>
      </c>
      <c r="B588" s="41" t="s">
        <v>55</v>
      </c>
      <c r="C588" s="41" t="s">
        <v>26</v>
      </c>
      <c r="D588" s="42" t="s">
        <v>230</v>
      </c>
      <c r="E588" s="8"/>
      <c r="F588" s="66">
        <f>F589</f>
        <v>1145500</v>
      </c>
      <c r="G588" s="56">
        <f>G589</f>
        <v>-251000</v>
      </c>
      <c r="H588" s="56">
        <f t="shared" si="25"/>
        <v>894500</v>
      </c>
    </row>
    <row r="589" spans="1:19" x14ac:dyDescent="0.2">
      <c r="A589" s="61"/>
      <c r="B589" s="61"/>
      <c r="C589" s="61"/>
      <c r="D589" s="61"/>
      <c r="E589" s="3" t="s">
        <v>483</v>
      </c>
      <c r="F589" s="66">
        <v>1145500</v>
      </c>
      <c r="G589" s="66">
        <f>-251000</f>
        <v>-251000</v>
      </c>
      <c r="H589" s="66">
        <f t="shared" si="25"/>
        <v>894500</v>
      </c>
    </row>
    <row r="590" spans="1:19" s="87" customFormat="1" ht="37.5" x14ac:dyDescent="0.2">
      <c r="A590" s="41" t="s">
        <v>56</v>
      </c>
      <c r="B590" s="41" t="s">
        <v>57</v>
      </c>
      <c r="C590" s="41" t="s">
        <v>26</v>
      </c>
      <c r="D590" s="42" t="s">
        <v>58</v>
      </c>
      <c r="E590" s="43"/>
      <c r="F590" s="56">
        <f>SUM(F591:F591)</f>
        <v>2094084</v>
      </c>
      <c r="G590" s="56">
        <f>SUM(G591:G591)</f>
        <v>1626170</v>
      </c>
      <c r="H590" s="56">
        <f t="shared" si="25"/>
        <v>3720254</v>
      </c>
      <c r="I590" s="86"/>
      <c r="J590" s="86"/>
      <c r="K590" s="86"/>
      <c r="L590" s="86"/>
      <c r="M590" s="86"/>
      <c r="N590" s="86"/>
      <c r="O590" s="86"/>
      <c r="P590" s="86"/>
      <c r="Q590" s="86"/>
      <c r="R590" s="86"/>
      <c r="S590" s="86"/>
    </row>
    <row r="591" spans="1:19" ht="37.5" x14ac:dyDescent="0.2">
      <c r="A591" s="74"/>
      <c r="B591" s="74"/>
      <c r="C591" s="74"/>
      <c r="D591" s="8"/>
      <c r="E591" s="65" t="s">
        <v>176</v>
      </c>
      <c r="F591" s="66">
        <v>2094084</v>
      </c>
      <c r="G591" s="66">
        <f>1622670+3500</f>
        <v>1626170</v>
      </c>
      <c r="H591" s="66">
        <f t="shared" si="25"/>
        <v>3720254</v>
      </c>
    </row>
    <row r="592" spans="1:19" s="87" customFormat="1" ht="37.5" x14ac:dyDescent="0.2">
      <c r="A592" s="41" t="s">
        <v>7</v>
      </c>
      <c r="B592" s="41" t="s">
        <v>8</v>
      </c>
      <c r="C592" s="41" t="s">
        <v>9</v>
      </c>
      <c r="D592" s="89" t="s">
        <v>10</v>
      </c>
      <c r="E592" s="83"/>
      <c r="F592" s="56">
        <f>SUM(F593)</f>
        <v>981870</v>
      </c>
      <c r="G592" s="56">
        <f>SUM(G593)</f>
        <v>270000</v>
      </c>
      <c r="H592" s="56">
        <f t="shared" si="25"/>
        <v>1251870</v>
      </c>
      <c r="I592" s="86"/>
      <c r="J592" s="86"/>
      <c r="K592" s="86"/>
      <c r="L592" s="86"/>
      <c r="M592" s="86"/>
      <c r="N592" s="86"/>
      <c r="O592" s="86"/>
      <c r="P592" s="86"/>
      <c r="Q592" s="86"/>
      <c r="R592" s="86"/>
      <c r="S592" s="86"/>
    </row>
    <row r="593" spans="1:19" ht="56.25" x14ac:dyDescent="0.2">
      <c r="A593" s="74"/>
      <c r="B593" s="74"/>
      <c r="C593" s="74"/>
      <c r="D593" s="8"/>
      <c r="E593" s="8" t="s">
        <v>235</v>
      </c>
      <c r="F593" s="66">
        <v>981870</v>
      </c>
      <c r="G593" s="66">
        <f>270000</f>
        <v>270000</v>
      </c>
      <c r="H593" s="66">
        <f t="shared" si="25"/>
        <v>1251870</v>
      </c>
    </row>
    <row r="594" spans="1:19" s="53" customFormat="1" x14ac:dyDescent="0.2">
      <c r="A594" s="33" t="s">
        <v>18</v>
      </c>
      <c r="B594" s="47"/>
      <c r="C594" s="47"/>
      <c r="D594" s="47" t="s">
        <v>19</v>
      </c>
      <c r="E594" s="37"/>
      <c r="F594" s="51">
        <f>F596+F604+F610+F608+F606</f>
        <v>37580620</v>
      </c>
      <c r="G594" s="51">
        <f>G596+G604+G610+G608+G606</f>
        <v>24783820</v>
      </c>
      <c r="H594" s="51">
        <f t="shared" si="25"/>
        <v>62364440</v>
      </c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</row>
    <row r="595" spans="1:19" s="53" customFormat="1" x14ac:dyDescent="0.2">
      <c r="A595" s="33" t="s">
        <v>20</v>
      </c>
      <c r="B595" s="47"/>
      <c r="C595" s="47"/>
      <c r="D595" s="50" t="s">
        <v>19</v>
      </c>
      <c r="E595" s="37"/>
      <c r="F595" s="51"/>
      <c r="G595" s="51"/>
      <c r="H595" s="51">
        <f t="shared" si="25"/>
        <v>0</v>
      </c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</row>
    <row r="596" spans="1:19" x14ac:dyDescent="0.2">
      <c r="A596" s="41" t="s">
        <v>27</v>
      </c>
      <c r="B596" s="41" t="s">
        <v>28</v>
      </c>
      <c r="C596" s="41" t="s">
        <v>29</v>
      </c>
      <c r="D596" s="41" t="s">
        <v>21</v>
      </c>
      <c r="E596" s="8"/>
      <c r="F596" s="56">
        <f>SUM(F597:F603)</f>
        <v>12066720</v>
      </c>
      <c r="G596" s="56">
        <f>SUM(G597:G603)</f>
        <v>-16180</v>
      </c>
      <c r="H596" s="56">
        <f t="shared" si="25"/>
        <v>12050540</v>
      </c>
    </row>
    <row r="597" spans="1:19" x14ac:dyDescent="0.2">
      <c r="A597" s="74"/>
      <c r="B597" s="74"/>
      <c r="C597" s="74"/>
      <c r="D597" s="8"/>
      <c r="E597" s="8" t="s">
        <v>340</v>
      </c>
      <c r="F597" s="66">
        <v>1079030</v>
      </c>
      <c r="G597" s="66">
        <f>-49000</f>
        <v>-49000</v>
      </c>
      <c r="H597" s="66">
        <f t="shared" si="25"/>
        <v>1030030</v>
      </c>
    </row>
    <row r="598" spans="1:19" x14ac:dyDescent="0.2">
      <c r="A598" s="74"/>
      <c r="B598" s="74"/>
      <c r="C598" s="74"/>
      <c r="D598" s="8"/>
      <c r="E598" s="10" t="s">
        <v>204</v>
      </c>
      <c r="F598" s="66">
        <v>379373</v>
      </c>
      <c r="G598" s="66">
        <f>349000</f>
        <v>349000</v>
      </c>
      <c r="H598" s="66">
        <f t="shared" si="25"/>
        <v>728373</v>
      </c>
    </row>
    <row r="599" spans="1:19" x14ac:dyDescent="0.2">
      <c r="A599" s="74"/>
      <c r="B599" s="74"/>
      <c r="C599" s="74"/>
      <c r="D599" s="8"/>
      <c r="E599" s="10" t="s">
        <v>335</v>
      </c>
      <c r="F599" s="66">
        <v>76117</v>
      </c>
      <c r="G599" s="66"/>
      <c r="H599" s="66">
        <f t="shared" si="25"/>
        <v>76117</v>
      </c>
    </row>
    <row r="600" spans="1:19" x14ac:dyDescent="0.2">
      <c r="A600" s="74"/>
      <c r="B600" s="74"/>
      <c r="C600" s="74"/>
      <c r="D600" s="8"/>
      <c r="E600" s="10" t="s">
        <v>336</v>
      </c>
      <c r="F600" s="66">
        <v>632440</v>
      </c>
      <c r="G600" s="66"/>
      <c r="H600" s="66">
        <f t="shared" si="25"/>
        <v>632440</v>
      </c>
    </row>
    <row r="601" spans="1:19" x14ac:dyDescent="0.2">
      <c r="A601" s="74"/>
      <c r="B601" s="74"/>
      <c r="C601" s="74"/>
      <c r="D601" s="8"/>
      <c r="E601" s="10" t="s">
        <v>337</v>
      </c>
      <c r="F601" s="66">
        <v>1489520</v>
      </c>
      <c r="G601" s="66">
        <f>-90880</f>
        <v>-90880</v>
      </c>
      <c r="H601" s="66">
        <f t="shared" si="25"/>
        <v>1398640</v>
      </c>
    </row>
    <row r="602" spans="1:19" x14ac:dyDescent="0.2">
      <c r="A602" s="74"/>
      <c r="B602" s="74"/>
      <c r="C602" s="74"/>
      <c r="D602" s="8"/>
      <c r="E602" s="10" t="s">
        <v>338</v>
      </c>
      <c r="F602" s="66">
        <v>7027875</v>
      </c>
      <c r="G602" s="66">
        <f>-225300</f>
        <v>-225300</v>
      </c>
      <c r="H602" s="66">
        <f t="shared" si="25"/>
        <v>6802575</v>
      </c>
    </row>
    <row r="603" spans="1:19" ht="37.5" x14ac:dyDescent="0.2">
      <c r="A603" s="74"/>
      <c r="B603" s="74"/>
      <c r="C603" s="74"/>
      <c r="D603" s="8"/>
      <c r="E603" s="10" t="s">
        <v>339</v>
      </c>
      <c r="F603" s="66">
        <v>1382365</v>
      </c>
      <c r="G603" s="66"/>
      <c r="H603" s="66">
        <f t="shared" si="25"/>
        <v>1382365</v>
      </c>
    </row>
    <row r="604" spans="1:19" ht="37.5" x14ac:dyDescent="0.2">
      <c r="A604" s="41" t="s">
        <v>24</v>
      </c>
      <c r="B604" s="41" t="s">
        <v>25</v>
      </c>
      <c r="C604" s="41" t="s">
        <v>26</v>
      </c>
      <c r="D604" s="42" t="s">
        <v>22</v>
      </c>
      <c r="E604" s="8"/>
      <c r="F604" s="56">
        <f>SUM(F605)</f>
        <v>700000</v>
      </c>
      <c r="G604" s="56">
        <f>SUM(G605)</f>
        <v>0</v>
      </c>
      <c r="H604" s="56">
        <f t="shared" si="25"/>
        <v>700000</v>
      </c>
    </row>
    <row r="605" spans="1:19" x14ac:dyDescent="0.2">
      <c r="A605" s="61"/>
      <c r="B605" s="61"/>
      <c r="C605" s="61"/>
      <c r="D605" s="61"/>
      <c r="E605" s="8" t="s">
        <v>205</v>
      </c>
      <c r="F605" s="66">
        <v>700000</v>
      </c>
      <c r="G605" s="66"/>
      <c r="H605" s="66">
        <f t="shared" si="25"/>
        <v>700000</v>
      </c>
    </row>
    <row r="606" spans="1:19" s="69" customFormat="1" x14ac:dyDescent="0.2">
      <c r="A606" s="41" t="s">
        <v>105</v>
      </c>
      <c r="B606" s="54" t="s">
        <v>106</v>
      </c>
      <c r="C606" s="54" t="s">
        <v>107</v>
      </c>
      <c r="D606" s="55" t="s">
        <v>108</v>
      </c>
      <c r="E606" s="38"/>
      <c r="F606" s="68">
        <f>SUM(F607)</f>
        <v>1500000</v>
      </c>
      <c r="G606" s="68">
        <f>SUM(G607)</f>
        <v>0</v>
      </c>
      <c r="H606" s="68">
        <f>F606+G606</f>
        <v>1500000</v>
      </c>
    </row>
    <row r="607" spans="1:19" x14ac:dyDescent="0.2">
      <c r="A607" s="75"/>
      <c r="B607" s="75"/>
      <c r="C607" s="75"/>
      <c r="D607" s="75"/>
      <c r="E607" s="8" t="s">
        <v>188</v>
      </c>
      <c r="F607" s="66">
        <v>1500000</v>
      </c>
      <c r="G607" s="66"/>
      <c r="H607" s="66">
        <f>F607+G607</f>
        <v>1500000</v>
      </c>
      <c r="Q607" s="18"/>
      <c r="R607" s="18"/>
      <c r="S607" s="18"/>
    </row>
    <row r="608" spans="1:19" ht="37.5" x14ac:dyDescent="0.2">
      <c r="A608" s="54" t="s">
        <v>109</v>
      </c>
      <c r="B608" s="54" t="s">
        <v>110</v>
      </c>
      <c r="C608" s="54" t="s">
        <v>111</v>
      </c>
      <c r="D608" s="54" t="s">
        <v>112</v>
      </c>
      <c r="E608" s="67"/>
      <c r="F608" s="56">
        <f>SUM(F609)</f>
        <v>3911400</v>
      </c>
      <c r="G608" s="56">
        <f>SUM(G609)</f>
        <v>0</v>
      </c>
      <c r="H608" s="56">
        <f t="shared" si="25"/>
        <v>3911400</v>
      </c>
    </row>
    <row r="609" spans="1:19" x14ac:dyDescent="0.2">
      <c r="A609" s="61"/>
      <c r="B609" s="61"/>
      <c r="C609" s="61"/>
      <c r="D609" s="61"/>
      <c r="E609" s="8" t="s">
        <v>188</v>
      </c>
      <c r="F609" s="66">
        <v>3911400</v>
      </c>
      <c r="G609" s="66"/>
      <c r="H609" s="66">
        <f t="shared" si="25"/>
        <v>3911400</v>
      </c>
    </row>
    <row r="610" spans="1:19" ht="37.5" x14ac:dyDescent="0.2">
      <c r="A610" s="41" t="s">
        <v>23</v>
      </c>
      <c r="B610" s="41" t="s">
        <v>8</v>
      </c>
      <c r="C610" s="41" t="s">
        <v>9</v>
      </c>
      <c r="D610" s="89" t="s">
        <v>10</v>
      </c>
      <c r="E610" s="94"/>
      <c r="F610" s="56">
        <f>SUM(F611)</f>
        <v>19402500</v>
      </c>
      <c r="G610" s="56">
        <f>SUM(G611)</f>
        <v>24800000</v>
      </c>
      <c r="H610" s="56">
        <f t="shared" si="25"/>
        <v>44202500</v>
      </c>
    </row>
    <row r="611" spans="1:19" ht="37.5" x14ac:dyDescent="0.2">
      <c r="A611" s="61"/>
      <c r="B611" s="61"/>
      <c r="C611" s="61"/>
      <c r="D611" s="83"/>
      <c r="E611" s="65" t="s">
        <v>236</v>
      </c>
      <c r="F611" s="66">
        <v>19402500</v>
      </c>
      <c r="G611" s="66">
        <f>8000000+1300000+2000000+13500000</f>
        <v>24800000</v>
      </c>
      <c r="H611" s="66">
        <f t="shared" ref="H611:H647" si="26">F611+G611</f>
        <v>44202500</v>
      </c>
    </row>
    <row r="612" spans="1:19" s="53" customFormat="1" ht="37.5" x14ac:dyDescent="0.2">
      <c r="A612" s="33" t="s">
        <v>364</v>
      </c>
      <c r="B612" s="33"/>
      <c r="C612" s="33"/>
      <c r="D612" s="29" t="s">
        <v>365</v>
      </c>
      <c r="E612" s="37"/>
      <c r="F612" s="51">
        <f>F614+F616</f>
        <v>273100</v>
      </c>
      <c r="G612" s="51">
        <f>G614+G616</f>
        <v>0</v>
      </c>
      <c r="H612" s="51">
        <f t="shared" si="26"/>
        <v>273100</v>
      </c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</row>
    <row r="613" spans="1:19" ht="37.5" x14ac:dyDescent="0.2">
      <c r="A613" s="33" t="s">
        <v>366</v>
      </c>
      <c r="B613" s="33"/>
      <c r="C613" s="33"/>
      <c r="D613" s="37" t="s">
        <v>365</v>
      </c>
      <c r="E613" s="8"/>
      <c r="F613" s="66"/>
      <c r="G613" s="66"/>
      <c r="H613" s="66">
        <f t="shared" si="26"/>
        <v>0</v>
      </c>
    </row>
    <row r="614" spans="1:19" s="87" customFormat="1" ht="56.25" x14ac:dyDescent="0.2">
      <c r="A614" s="41" t="s">
        <v>367</v>
      </c>
      <c r="B614" s="54" t="s">
        <v>4</v>
      </c>
      <c r="C614" s="54" t="s">
        <v>5</v>
      </c>
      <c r="D614" s="55" t="s">
        <v>6</v>
      </c>
      <c r="E614" s="83"/>
      <c r="F614" s="56">
        <f>SUM(F615)</f>
        <v>83100</v>
      </c>
      <c r="G614" s="56">
        <f>SUM(G615)</f>
        <v>0</v>
      </c>
      <c r="H614" s="56">
        <f t="shared" si="26"/>
        <v>83100</v>
      </c>
      <c r="I614" s="86"/>
      <c r="J614" s="86"/>
      <c r="K614" s="86"/>
      <c r="L614" s="86"/>
      <c r="M614" s="86"/>
      <c r="N614" s="86"/>
      <c r="O614" s="86"/>
      <c r="P614" s="86"/>
      <c r="Q614" s="86"/>
      <c r="R614" s="86"/>
      <c r="S614" s="86"/>
    </row>
    <row r="615" spans="1:19" x14ac:dyDescent="0.2">
      <c r="A615" s="41"/>
      <c r="B615" s="41"/>
      <c r="C615" s="41"/>
      <c r="D615" s="127"/>
      <c r="E615" s="8" t="s">
        <v>368</v>
      </c>
      <c r="F615" s="66">
        <f>83100</f>
        <v>83100</v>
      </c>
      <c r="G615" s="66"/>
      <c r="H615" s="66">
        <f t="shared" si="26"/>
        <v>83100</v>
      </c>
    </row>
    <row r="616" spans="1:19" x14ac:dyDescent="0.2">
      <c r="A616" s="41" t="s">
        <v>437</v>
      </c>
      <c r="B616" s="41" t="s">
        <v>343</v>
      </c>
      <c r="C616" s="41" t="s">
        <v>438</v>
      </c>
      <c r="D616" s="127" t="s">
        <v>344</v>
      </c>
      <c r="E616" s="8"/>
      <c r="F616" s="66">
        <f>SUM(F617)</f>
        <v>190000</v>
      </c>
      <c r="G616" s="56">
        <f>SUM(G617)</f>
        <v>0</v>
      </c>
      <c r="H616" s="56">
        <f t="shared" si="26"/>
        <v>190000</v>
      </c>
    </row>
    <row r="617" spans="1:19" x14ac:dyDescent="0.2">
      <c r="A617" s="41"/>
      <c r="B617" s="41"/>
      <c r="C617" s="41"/>
      <c r="D617" s="127"/>
      <c r="E617" s="8" t="s">
        <v>439</v>
      </c>
      <c r="F617" s="66">
        <v>190000</v>
      </c>
      <c r="G617" s="66"/>
      <c r="H617" s="66">
        <f t="shared" si="26"/>
        <v>190000</v>
      </c>
    </row>
    <row r="618" spans="1:19" x14ac:dyDescent="0.2">
      <c r="A618" s="33" t="s">
        <v>484</v>
      </c>
      <c r="B618" s="41"/>
      <c r="C618" s="41"/>
      <c r="D618" s="2" t="s">
        <v>486</v>
      </c>
      <c r="E618" s="8"/>
      <c r="F618" s="51">
        <f>F620</f>
        <v>80000</v>
      </c>
      <c r="G618" s="51">
        <f>G620</f>
        <v>0</v>
      </c>
      <c r="H618" s="51">
        <f t="shared" si="26"/>
        <v>80000</v>
      </c>
    </row>
    <row r="619" spans="1:19" x14ac:dyDescent="0.2">
      <c r="A619" s="33" t="s">
        <v>485</v>
      </c>
      <c r="B619" s="41"/>
      <c r="C619" s="41"/>
      <c r="D619" s="1" t="s">
        <v>486</v>
      </c>
      <c r="E619" s="8"/>
      <c r="F619" s="66"/>
      <c r="G619" s="66"/>
      <c r="H619" s="66">
        <f t="shared" si="26"/>
        <v>0</v>
      </c>
    </row>
    <row r="620" spans="1:19" ht="56.25" x14ac:dyDescent="0.2">
      <c r="A620" s="41" t="s">
        <v>487</v>
      </c>
      <c r="B620" s="54" t="s">
        <v>4</v>
      </c>
      <c r="C620" s="54" t="s">
        <v>5</v>
      </c>
      <c r="D620" s="55" t="s">
        <v>6</v>
      </c>
      <c r="E620" s="8"/>
      <c r="F620" s="56">
        <f>F621</f>
        <v>80000</v>
      </c>
      <c r="G620" s="56">
        <f>G621</f>
        <v>0</v>
      </c>
      <c r="H620" s="56">
        <f t="shared" si="26"/>
        <v>80000</v>
      </c>
    </row>
    <row r="621" spans="1:19" ht="37.5" x14ac:dyDescent="0.2">
      <c r="A621" s="41"/>
      <c r="B621" s="41"/>
      <c r="C621" s="41"/>
      <c r="D621" s="127"/>
      <c r="E621" s="3" t="s">
        <v>362</v>
      </c>
      <c r="F621" s="66">
        <v>80000</v>
      </c>
      <c r="G621" s="66"/>
      <c r="H621" s="66">
        <f t="shared" si="26"/>
        <v>80000</v>
      </c>
    </row>
    <row r="622" spans="1:19" s="53" customFormat="1" ht="37.5" x14ac:dyDescent="0.2">
      <c r="A622" s="33" t="s">
        <v>30</v>
      </c>
      <c r="B622" s="33"/>
      <c r="C622" s="33"/>
      <c r="D622" s="33" t="s">
        <v>31</v>
      </c>
      <c r="E622" s="37"/>
      <c r="F622" s="51">
        <f>F624+F626+F628</f>
        <v>13880500</v>
      </c>
      <c r="G622" s="51">
        <f>G624+G626+G628</f>
        <v>890000</v>
      </c>
      <c r="H622" s="51">
        <f t="shared" si="26"/>
        <v>14770500</v>
      </c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</row>
    <row r="623" spans="1:19" ht="37.5" x14ac:dyDescent="0.2">
      <c r="A623" s="33" t="s">
        <v>32</v>
      </c>
      <c r="B623" s="33"/>
      <c r="C623" s="33"/>
      <c r="D623" s="58" t="s">
        <v>31</v>
      </c>
      <c r="E623" s="8"/>
      <c r="F623" s="66"/>
      <c r="G623" s="66"/>
      <c r="H623" s="66">
        <f t="shared" si="26"/>
        <v>0</v>
      </c>
    </row>
    <row r="624" spans="1:19" s="87" customFormat="1" ht="56.25" x14ac:dyDescent="0.2">
      <c r="A624" s="41" t="s">
        <v>33</v>
      </c>
      <c r="B624" s="54" t="s">
        <v>4</v>
      </c>
      <c r="C624" s="54" t="s">
        <v>5</v>
      </c>
      <c r="D624" s="55" t="s">
        <v>6</v>
      </c>
      <c r="E624" s="83"/>
      <c r="F624" s="56">
        <f>SUM(F625:F625)</f>
        <v>40000</v>
      </c>
      <c r="G624" s="56">
        <f>SUM(G625:G625)</f>
        <v>490000</v>
      </c>
      <c r="H624" s="56">
        <f t="shared" si="26"/>
        <v>530000</v>
      </c>
      <c r="I624" s="86"/>
      <c r="J624" s="86"/>
      <c r="K624" s="86"/>
      <c r="L624" s="86"/>
      <c r="M624" s="86"/>
      <c r="N624" s="86"/>
      <c r="O624" s="86"/>
      <c r="P624" s="86"/>
      <c r="Q624" s="86"/>
      <c r="R624" s="86"/>
      <c r="S624" s="86"/>
    </row>
    <row r="625" spans="1:19" x14ac:dyDescent="0.2">
      <c r="A625" s="41"/>
      <c r="B625" s="41"/>
      <c r="C625" s="41"/>
      <c r="D625" s="127"/>
      <c r="E625" s="8" t="s">
        <v>41</v>
      </c>
      <c r="F625" s="66">
        <v>40000</v>
      </c>
      <c r="G625" s="66">
        <f>500000-10000</f>
        <v>490000</v>
      </c>
      <c r="H625" s="66">
        <f t="shared" si="26"/>
        <v>530000</v>
      </c>
    </row>
    <row r="626" spans="1:19" s="87" customFormat="1" x14ac:dyDescent="0.2">
      <c r="A626" s="41" t="s">
        <v>34</v>
      </c>
      <c r="B626" s="41" t="s">
        <v>35</v>
      </c>
      <c r="C626" s="41" t="s">
        <v>36</v>
      </c>
      <c r="D626" s="42" t="s">
        <v>37</v>
      </c>
      <c r="E626" s="83"/>
      <c r="F626" s="56">
        <f>F627</f>
        <v>2130000</v>
      </c>
      <c r="G626" s="56">
        <f>G627</f>
        <v>0</v>
      </c>
      <c r="H626" s="56">
        <f t="shared" si="26"/>
        <v>2130000</v>
      </c>
      <c r="I626" s="86"/>
      <c r="J626" s="86"/>
      <c r="K626" s="86"/>
      <c r="L626" s="86"/>
      <c r="M626" s="86"/>
      <c r="N626" s="86"/>
      <c r="O626" s="86"/>
      <c r="P626" s="86"/>
      <c r="Q626" s="86"/>
      <c r="R626" s="86"/>
      <c r="S626" s="86"/>
    </row>
    <row r="627" spans="1:19" ht="37.5" x14ac:dyDescent="0.2">
      <c r="A627" s="41"/>
      <c r="B627" s="41"/>
      <c r="C627" s="41"/>
      <c r="D627" s="110"/>
      <c r="E627" s="65" t="s">
        <v>166</v>
      </c>
      <c r="F627" s="66">
        <v>2130000</v>
      </c>
      <c r="G627" s="66"/>
      <c r="H627" s="66">
        <f t="shared" si="26"/>
        <v>2130000</v>
      </c>
    </row>
    <row r="628" spans="1:19" s="87" customFormat="1" x14ac:dyDescent="0.2">
      <c r="A628" s="41" t="s">
        <v>38</v>
      </c>
      <c r="B628" s="41" t="s">
        <v>39</v>
      </c>
      <c r="C628" s="41" t="s">
        <v>35</v>
      </c>
      <c r="D628" s="55" t="s">
        <v>40</v>
      </c>
      <c r="E628" s="83"/>
      <c r="F628" s="56">
        <f>SUM(F629:F647)</f>
        <v>11710500</v>
      </c>
      <c r="G628" s="56">
        <f>SUM(G629:G647)</f>
        <v>400000</v>
      </c>
      <c r="H628" s="56">
        <f t="shared" si="26"/>
        <v>12110500</v>
      </c>
      <c r="I628" s="86"/>
      <c r="J628" s="86"/>
      <c r="K628" s="86"/>
      <c r="L628" s="86"/>
      <c r="M628" s="86"/>
      <c r="N628" s="86"/>
      <c r="O628" s="86"/>
      <c r="P628" s="86"/>
      <c r="Q628" s="86"/>
      <c r="R628" s="86"/>
      <c r="S628" s="86"/>
    </row>
    <row r="629" spans="1:19" x14ac:dyDescent="0.2">
      <c r="A629" s="61"/>
      <c r="B629" s="61"/>
      <c r="C629" s="61"/>
      <c r="D629" s="61"/>
      <c r="E629" s="9" t="s">
        <v>167</v>
      </c>
      <c r="F629" s="66">
        <v>500000</v>
      </c>
      <c r="G629" s="66"/>
      <c r="H629" s="66">
        <f t="shared" si="26"/>
        <v>500000</v>
      </c>
    </row>
    <row r="630" spans="1:19" x14ac:dyDescent="0.2">
      <c r="A630" s="61"/>
      <c r="B630" s="61"/>
      <c r="C630" s="61"/>
      <c r="D630" s="61"/>
      <c r="E630" s="9" t="s">
        <v>168</v>
      </c>
      <c r="F630" s="66">
        <v>2500000</v>
      </c>
      <c r="G630" s="66">
        <f>-350000</f>
        <v>-350000</v>
      </c>
      <c r="H630" s="66">
        <f t="shared" si="26"/>
        <v>2150000</v>
      </c>
    </row>
    <row r="631" spans="1:19" x14ac:dyDescent="0.2">
      <c r="A631" s="61"/>
      <c r="B631" s="61"/>
      <c r="C631" s="61"/>
      <c r="D631" s="61"/>
      <c r="E631" s="9" t="s">
        <v>169</v>
      </c>
      <c r="F631" s="66">
        <v>500000</v>
      </c>
      <c r="G631" s="66"/>
      <c r="H631" s="66">
        <f t="shared" si="26"/>
        <v>500000</v>
      </c>
    </row>
    <row r="632" spans="1:19" x14ac:dyDescent="0.2">
      <c r="A632" s="61"/>
      <c r="B632" s="61"/>
      <c r="C632" s="61"/>
      <c r="D632" s="61"/>
      <c r="E632" s="9" t="s">
        <v>170</v>
      </c>
      <c r="F632" s="66">
        <v>500000</v>
      </c>
      <c r="G632" s="66"/>
      <c r="H632" s="66">
        <f t="shared" si="26"/>
        <v>500000</v>
      </c>
    </row>
    <row r="633" spans="1:19" x14ac:dyDescent="0.2">
      <c r="A633" s="61"/>
      <c r="B633" s="61"/>
      <c r="C633" s="61"/>
      <c r="D633" s="61"/>
      <c r="E633" s="9" t="s">
        <v>171</v>
      </c>
      <c r="F633" s="66">
        <v>500000</v>
      </c>
      <c r="G633" s="66"/>
      <c r="H633" s="66">
        <f t="shared" si="26"/>
        <v>500000</v>
      </c>
    </row>
    <row r="634" spans="1:19" ht="37.5" x14ac:dyDescent="0.2">
      <c r="A634" s="61"/>
      <c r="B634" s="61"/>
      <c r="C634" s="61"/>
      <c r="D634" s="61"/>
      <c r="E634" s="9" t="s">
        <v>440</v>
      </c>
      <c r="F634" s="66">
        <v>150000</v>
      </c>
      <c r="G634" s="66">
        <f>200000</f>
        <v>200000</v>
      </c>
      <c r="H634" s="66">
        <f t="shared" si="26"/>
        <v>350000</v>
      </c>
    </row>
    <row r="635" spans="1:19" x14ac:dyDescent="0.2">
      <c r="A635" s="61"/>
      <c r="B635" s="61"/>
      <c r="C635" s="61"/>
      <c r="D635" s="61"/>
      <c r="E635" s="9" t="s">
        <v>228</v>
      </c>
      <c r="F635" s="66">
        <v>1000000</v>
      </c>
      <c r="G635" s="66"/>
      <c r="H635" s="66">
        <f t="shared" si="26"/>
        <v>1000000</v>
      </c>
    </row>
    <row r="636" spans="1:19" x14ac:dyDescent="0.2">
      <c r="A636" s="61"/>
      <c r="B636" s="61"/>
      <c r="C636" s="61"/>
      <c r="D636" s="61"/>
      <c r="E636" s="9" t="s">
        <v>229</v>
      </c>
      <c r="F636" s="66">
        <v>800000</v>
      </c>
      <c r="G636" s="66"/>
      <c r="H636" s="66">
        <f t="shared" si="26"/>
        <v>800000</v>
      </c>
    </row>
    <row r="637" spans="1:19" x14ac:dyDescent="0.3">
      <c r="A637" s="61"/>
      <c r="B637" s="61"/>
      <c r="C637" s="61"/>
      <c r="D637" s="61"/>
      <c r="E637" s="128" t="s">
        <v>445</v>
      </c>
      <c r="F637" s="66">
        <v>200000</v>
      </c>
      <c r="G637" s="66"/>
      <c r="H637" s="66">
        <f t="shared" si="26"/>
        <v>200000</v>
      </c>
    </row>
    <row r="638" spans="1:19" x14ac:dyDescent="0.2">
      <c r="A638" s="61"/>
      <c r="B638" s="61"/>
      <c r="C638" s="61"/>
      <c r="D638" s="61"/>
      <c r="E638" s="9" t="s">
        <v>528</v>
      </c>
      <c r="F638" s="66"/>
      <c r="G638" s="66">
        <f>200000</f>
        <v>200000</v>
      </c>
      <c r="H638" s="66">
        <f t="shared" si="26"/>
        <v>200000</v>
      </c>
    </row>
    <row r="639" spans="1:19" x14ac:dyDescent="0.2">
      <c r="A639" s="61"/>
      <c r="B639" s="61"/>
      <c r="C639" s="61"/>
      <c r="D639" s="61"/>
      <c r="E639" s="9" t="s">
        <v>538</v>
      </c>
      <c r="F639" s="66"/>
      <c r="G639" s="66">
        <f>100000</f>
        <v>100000</v>
      </c>
      <c r="H639" s="66">
        <f t="shared" si="26"/>
        <v>100000</v>
      </c>
    </row>
    <row r="640" spans="1:19" x14ac:dyDescent="0.2">
      <c r="A640" s="61"/>
      <c r="B640" s="61"/>
      <c r="C640" s="61"/>
      <c r="D640" s="61"/>
      <c r="E640" s="9" t="s">
        <v>529</v>
      </c>
      <c r="F640" s="66"/>
      <c r="G640" s="66">
        <f>150000</f>
        <v>150000</v>
      </c>
      <c r="H640" s="66">
        <f t="shared" si="26"/>
        <v>150000</v>
      </c>
    </row>
    <row r="641" spans="1:19" x14ac:dyDescent="0.2">
      <c r="A641" s="61"/>
      <c r="B641" s="61"/>
      <c r="C641" s="61"/>
      <c r="D641" s="61"/>
      <c r="E641" s="9" t="s">
        <v>530</v>
      </c>
      <c r="F641" s="66"/>
      <c r="G641" s="66">
        <f>100000</f>
        <v>100000</v>
      </c>
      <c r="H641" s="66">
        <f t="shared" si="26"/>
        <v>100000</v>
      </c>
    </row>
    <row r="642" spans="1:19" ht="37.5" x14ac:dyDescent="0.3">
      <c r="A642" s="61"/>
      <c r="B642" s="61"/>
      <c r="C642" s="61"/>
      <c r="D642" s="61"/>
      <c r="E642" s="129" t="s">
        <v>453</v>
      </c>
      <c r="F642" s="66">
        <v>3000000</v>
      </c>
      <c r="G642" s="66"/>
      <c r="H642" s="66">
        <f t="shared" si="26"/>
        <v>3000000</v>
      </c>
    </row>
    <row r="643" spans="1:19" x14ac:dyDescent="0.2">
      <c r="A643" s="61"/>
      <c r="B643" s="61"/>
      <c r="C643" s="61"/>
      <c r="D643" s="61"/>
      <c r="E643" s="9" t="s">
        <v>354</v>
      </c>
      <c r="F643" s="66">
        <v>100000</v>
      </c>
      <c r="G643" s="66"/>
      <c r="H643" s="66">
        <f t="shared" si="26"/>
        <v>100000</v>
      </c>
    </row>
    <row r="644" spans="1:19" ht="75" x14ac:dyDescent="0.2">
      <c r="A644" s="61"/>
      <c r="B644" s="61"/>
      <c r="C644" s="61"/>
      <c r="D644" s="61"/>
      <c r="E644" s="5" t="s">
        <v>488</v>
      </c>
      <c r="F644" s="66">
        <v>700000</v>
      </c>
      <c r="G644" s="66"/>
      <c r="H644" s="66">
        <f t="shared" si="26"/>
        <v>700000</v>
      </c>
    </row>
    <row r="645" spans="1:19" ht="75" x14ac:dyDescent="0.2">
      <c r="A645" s="61"/>
      <c r="B645" s="61"/>
      <c r="C645" s="61"/>
      <c r="D645" s="61"/>
      <c r="E645" s="9" t="s">
        <v>466</v>
      </c>
      <c r="F645" s="66">
        <v>820800</v>
      </c>
      <c r="G645" s="66"/>
      <c r="H645" s="66">
        <f t="shared" si="26"/>
        <v>820800</v>
      </c>
    </row>
    <row r="646" spans="1:19" ht="75" x14ac:dyDescent="0.2">
      <c r="A646" s="61"/>
      <c r="B646" s="61"/>
      <c r="C646" s="61"/>
      <c r="D646" s="61"/>
      <c r="E646" s="9" t="s">
        <v>467</v>
      </c>
      <c r="F646" s="66">
        <v>279700</v>
      </c>
      <c r="G646" s="66"/>
      <c r="H646" s="66">
        <f t="shared" si="26"/>
        <v>279700</v>
      </c>
    </row>
    <row r="647" spans="1:19" ht="37.5" x14ac:dyDescent="0.2">
      <c r="A647" s="61"/>
      <c r="B647" s="61"/>
      <c r="C647" s="61"/>
      <c r="D647" s="61"/>
      <c r="E647" s="83" t="s">
        <v>276</v>
      </c>
      <c r="F647" s="66">
        <v>160000</v>
      </c>
      <c r="G647" s="66"/>
      <c r="H647" s="66">
        <f t="shared" si="26"/>
        <v>160000</v>
      </c>
    </row>
    <row r="648" spans="1:19" s="131" customFormat="1" ht="40.5" x14ac:dyDescent="0.2">
      <c r="A648" s="130"/>
      <c r="B648" s="130"/>
      <c r="C648" s="130"/>
      <c r="D648" s="130"/>
      <c r="E648" s="78" t="s">
        <v>189</v>
      </c>
      <c r="F648" s="99">
        <f>F622+F612+F594+F577+F390+F376+F361+F463+F406+F410+F329+F305+F386+F618</f>
        <v>414599568</v>
      </c>
      <c r="G648" s="99">
        <f>G622+G612+G594+G577+G390+G376+G361+G463+G406+G410+G329+G305+G386+G618</f>
        <v>56632103</v>
      </c>
      <c r="H648" s="99">
        <f>H622+H612+H594+H577+H390+H376+H361+H463+H406+H410+H329+H305+H386+H618</f>
        <v>471231671</v>
      </c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</row>
    <row r="649" spans="1:19" s="135" customFormat="1" ht="20.25" x14ac:dyDescent="0.2">
      <c r="A649" s="169" t="s">
        <v>223</v>
      </c>
      <c r="B649" s="170"/>
      <c r="C649" s="170"/>
      <c r="D649" s="170"/>
      <c r="E649" s="171"/>
      <c r="F649" s="132"/>
      <c r="G649" s="106"/>
      <c r="H649" s="132"/>
      <c r="I649" s="133"/>
      <c r="J649" s="134"/>
      <c r="K649" s="134"/>
      <c r="L649" s="134"/>
      <c r="M649" s="134"/>
      <c r="N649" s="134"/>
      <c r="O649" s="134"/>
      <c r="P649" s="134"/>
      <c r="Q649" s="134"/>
    </row>
    <row r="650" spans="1:19" s="135" customFormat="1" ht="37.5" x14ac:dyDescent="0.2">
      <c r="A650" s="47" t="s">
        <v>137</v>
      </c>
      <c r="B650" s="47"/>
      <c r="C650" s="47"/>
      <c r="D650" s="28" t="s">
        <v>138</v>
      </c>
      <c r="E650" s="78"/>
      <c r="F650" s="49">
        <f>F652+F654+F662</f>
        <v>2452880</v>
      </c>
      <c r="G650" s="49">
        <f>G652+G654+G662</f>
        <v>2869120</v>
      </c>
      <c r="H650" s="49">
        <f t="shared" ref="H650:H656" si="27">F650+G650</f>
        <v>5322000</v>
      </c>
      <c r="I650" s="133"/>
      <c r="J650" s="134"/>
      <c r="K650" s="134"/>
      <c r="L650" s="134"/>
      <c r="M650" s="134"/>
      <c r="N650" s="134"/>
      <c r="O650" s="134"/>
      <c r="P650" s="134"/>
      <c r="Q650" s="134"/>
    </row>
    <row r="651" spans="1:19" s="135" customFormat="1" ht="37.5" x14ac:dyDescent="0.2">
      <c r="A651" s="47" t="s">
        <v>139</v>
      </c>
      <c r="B651" s="47"/>
      <c r="C651" s="47"/>
      <c r="D651" s="48" t="s">
        <v>138</v>
      </c>
      <c r="E651" s="78"/>
      <c r="F651" s="132"/>
      <c r="G651" s="132"/>
      <c r="H651" s="132">
        <f t="shared" si="27"/>
        <v>0</v>
      </c>
      <c r="I651" s="133"/>
      <c r="J651" s="134"/>
      <c r="K651" s="134"/>
      <c r="L651" s="134"/>
      <c r="M651" s="134"/>
      <c r="N651" s="134"/>
      <c r="O651" s="134"/>
      <c r="P651" s="134"/>
      <c r="Q651" s="134"/>
    </row>
    <row r="652" spans="1:19" s="141" customFormat="1" ht="20.25" x14ac:dyDescent="0.2">
      <c r="A652" s="136" t="s">
        <v>142</v>
      </c>
      <c r="B652" s="41">
        <v>1010</v>
      </c>
      <c r="C652" s="41" t="s">
        <v>97</v>
      </c>
      <c r="D652" s="137" t="s">
        <v>83</v>
      </c>
      <c r="E652" s="138"/>
      <c r="F652" s="68">
        <f>SUM(F653)</f>
        <v>333100</v>
      </c>
      <c r="G652" s="68">
        <f>SUM(G653)</f>
        <v>0</v>
      </c>
      <c r="H652" s="68">
        <f t="shared" si="27"/>
        <v>333100</v>
      </c>
      <c r="I652" s="139"/>
      <c r="J652" s="140"/>
      <c r="K652" s="140"/>
      <c r="L652" s="140"/>
      <c r="M652" s="140"/>
      <c r="N652" s="140"/>
      <c r="O652" s="140"/>
      <c r="P652" s="140"/>
      <c r="Q652" s="140"/>
    </row>
    <row r="653" spans="1:19" s="135" customFormat="1" ht="37.5" x14ac:dyDescent="0.2">
      <c r="A653" s="54"/>
      <c r="B653" s="54"/>
      <c r="C653" s="54"/>
      <c r="D653" s="112"/>
      <c r="E653" s="138" t="s">
        <v>224</v>
      </c>
      <c r="F653" s="106">
        <v>333100</v>
      </c>
      <c r="G653" s="106"/>
      <c r="H653" s="106">
        <f t="shared" si="27"/>
        <v>333100</v>
      </c>
      <c r="I653" s="133"/>
      <c r="J653" s="134"/>
      <c r="K653" s="134"/>
      <c r="L653" s="134"/>
      <c r="M653" s="134"/>
      <c r="N653" s="134"/>
      <c r="O653" s="134"/>
      <c r="P653" s="134"/>
      <c r="Q653" s="134"/>
    </row>
    <row r="654" spans="1:19" s="135" customFormat="1" ht="75" x14ac:dyDescent="0.2">
      <c r="A654" s="41" t="s">
        <v>143</v>
      </c>
      <c r="B654" s="41" t="s">
        <v>50</v>
      </c>
      <c r="C654" s="41" t="s">
        <v>144</v>
      </c>
      <c r="D654" s="42" t="s">
        <v>252</v>
      </c>
      <c r="E654" s="138"/>
      <c r="F654" s="68">
        <f>SUM(F655:F661)</f>
        <v>2119780</v>
      </c>
      <c r="G654" s="68">
        <f>SUM(G655:G661)</f>
        <v>15120</v>
      </c>
      <c r="H654" s="68">
        <f t="shared" si="27"/>
        <v>2134900</v>
      </c>
      <c r="I654" s="133"/>
      <c r="J654" s="134"/>
      <c r="K654" s="134"/>
      <c r="L654" s="134"/>
      <c r="M654" s="134"/>
      <c r="N654" s="134"/>
      <c r="O654" s="134"/>
      <c r="P654" s="134"/>
      <c r="Q654" s="134"/>
    </row>
    <row r="655" spans="1:19" s="135" customFormat="1" ht="37.5" x14ac:dyDescent="0.2">
      <c r="A655" s="54"/>
      <c r="B655" s="54"/>
      <c r="C655" s="54"/>
      <c r="D655" s="112"/>
      <c r="E655" s="138" t="s">
        <v>224</v>
      </c>
      <c r="F655" s="106">
        <v>781500</v>
      </c>
      <c r="G655" s="106"/>
      <c r="H655" s="106">
        <f t="shared" si="27"/>
        <v>781500</v>
      </c>
      <c r="I655" s="133"/>
      <c r="J655" s="134"/>
      <c r="K655" s="134"/>
      <c r="L655" s="134"/>
      <c r="M655" s="134"/>
      <c r="N655" s="134"/>
      <c r="O655" s="134"/>
      <c r="P655" s="134"/>
      <c r="Q655" s="134"/>
    </row>
    <row r="656" spans="1:19" s="135" customFormat="1" ht="112.5" x14ac:dyDescent="0.2">
      <c r="A656" s="54"/>
      <c r="B656" s="54"/>
      <c r="C656" s="54"/>
      <c r="D656" s="112"/>
      <c r="E656" s="161" t="s">
        <v>539</v>
      </c>
      <c r="F656" s="106"/>
      <c r="G656" s="106">
        <f>15120</f>
        <v>15120</v>
      </c>
      <c r="H656" s="106">
        <f t="shared" si="27"/>
        <v>15120</v>
      </c>
      <c r="I656" s="133"/>
      <c r="J656" s="134"/>
      <c r="K656" s="134"/>
      <c r="L656" s="134"/>
      <c r="M656" s="134"/>
      <c r="N656" s="134"/>
      <c r="O656" s="134"/>
      <c r="P656" s="134"/>
      <c r="Q656" s="134"/>
    </row>
    <row r="657" spans="1:17" s="46" customFormat="1" ht="56.25" x14ac:dyDescent="0.2">
      <c r="A657" s="104"/>
      <c r="B657" s="104"/>
      <c r="C657" s="104"/>
      <c r="D657" s="105"/>
      <c r="E657" s="107" t="s">
        <v>461</v>
      </c>
      <c r="F657" s="106">
        <v>187790</v>
      </c>
      <c r="G657" s="106"/>
      <c r="H657" s="64">
        <f t="shared" ref="H657:H663" si="28">F657+G657</f>
        <v>187790</v>
      </c>
      <c r="I657" s="45"/>
      <c r="J657" s="45"/>
      <c r="K657" s="45"/>
      <c r="L657" s="45"/>
      <c r="M657" s="45"/>
      <c r="N657" s="45"/>
    </row>
    <row r="658" spans="1:17" s="46" customFormat="1" ht="56.25" x14ac:dyDescent="0.2">
      <c r="A658" s="104"/>
      <c r="B658" s="104"/>
      <c r="C658" s="104"/>
      <c r="D658" s="105"/>
      <c r="E658" s="107" t="s">
        <v>462</v>
      </c>
      <c r="F658" s="106">
        <v>213490</v>
      </c>
      <c r="G658" s="106"/>
      <c r="H658" s="64">
        <f t="shared" si="28"/>
        <v>213490</v>
      </c>
      <c r="I658" s="45"/>
      <c r="J658" s="45"/>
      <c r="K658" s="45"/>
      <c r="L658" s="45"/>
      <c r="M658" s="45"/>
      <c r="N658" s="45"/>
    </row>
    <row r="659" spans="1:17" s="46" customFormat="1" ht="56.25" x14ac:dyDescent="0.2">
      <c r="A659" s="104"/>
      <c r="B659" s="104"/>
      <c r="C659" s="104"/>
      <c r="D659" s="105"/>
      <c r="E659" s="107" t="s">
        <v>465</v>
      </c>
      <c r="F659" s="106">
        <v>446750</v>
      </c>
      <c r="G659" s="106"/>
      <c r="H659" s="64">
        <f t="shared" si="28"/>
        <v>446750</v>
      </c>
      <c r="I659" s="45"/>
      <c r="J659" s="45"/>
      <c r="K659" s="45"/>
      <c r="L659" s="45"/>
      <c r="M659" s="45"/>
      <c r="N659" s="45"/>
    </row>
    <row r="660" spans="1:17" s="46" customFormat="1" ht="56.25" x14ac:dyDescent="0.2">
      <c r="A660" s="104"/>
      <c r="B660" s="104"/>
      <c r="C660" s="104"/>
      <c r="D660" s="105"/>
      <c r="E660" s="107" t="s">
        <v>463</v>
      </c>
      <c r="F660" s="106">
        <v>249450</v>
      </c>
      <c r="G660" s="106"/>
      <c r="H660" s="64">
        <f t="shared" si="28"/>
        <v>249450</v>
      </c>
      <c r="I660" s="45"/>
      <c r="J660" s="45"/>
      <c r="K660" s="45"/>
      <c r="L660" s="45"/>
      <c r="M660" s="45"/>
      <c r="N660" s="45"/>
    </row>
    <row r="661" spans="1:17" s="46" customFormat="1" ht="56.25" x14ac:dyDescent="0.2">
      <c r="A661" s="104"/>
      <c r="B661" s="104"/>
      <c r="C661" s="104"/>
      <c r="D661" s="105"/>
      <c r="E661" s="107" t="s">
        <v>464</v>
      </c>
      <c r="F661" s="106">
        <v>240800</v>
      </c>
      <c r="G661" s="106"/>
      <c r="H661" s="64">
        <f t="shared" si="28"/>
        <v>240800</v>
      </c>
      <c r="I661" s="45"/>
      <c r="J661" s="45"/>
      <c r="K661" s="45"/>
      <c r="L661" s="45"/>
      <c r="M661" s="45"/>
      <c r="N661" s="45"/>
    </row>
    <row r="662" spans="1:17" s="46" customFormat="1" ht="56.25" x14ac:dyDescent="0.2">
      <c r="A662" s="41" t="s">
        <v>149</v>
      </c>
      <c r="B662" s="41" t="s">
        <v>150</v>
      </c>
      <c r="C662" s="41" t="s">
        <v>151</v>
      </c>
      <c r="D662" s="42" t="s">
        <v>255</v>
      </c>
      <c r="E662" s="138"/>
      <c r="F662" s="68">
        <f>SUM(F663)</f>
        <v>0</v>
      </c>
      <c r="G662" s="68">
        <f>SUM(G663)</f>
        <v>2854000</v>
      </c>
      <c r="H662" s="68">
        <f t="shared" si="28"/>
        <v>2854000</v>
      </c>
      <c r="I662" s="45"/>
      <c r="J662" s="45"/>
      <c r="K662" s="45"/>
      <c r="L662" s="45"/>
      <c r="M662" s="45"/>
      <c r="N662" s="45"/>
    </row>
    <row r="663" spans="1:17" s="46" customFormat="1" ht="56.25" x14ac:dyDescent="0.2">
      <c r="A663" s="54"/>
      <c r="B663" s="54"/>
      <c r="C663" s="54"/>
      <c r="D663" s="112"/>
      <c r="E663" s="138" t="s">
        <v>513</v>
      </c>
      <c r="F663" s="106"/>
      <c r="G663" s="106">
        <f>2942600-88600</f>
        <v>2854000</v>
      </c>
      <c r="H663" s="106">
        <f t="shared" si="28"/>
        <v>2854000</v>
      </c>
      <c r="I663" s="45"/>
      <c r="J663" s="45"/>
      <c r="K663" s="45"/>
      <c r="L663" s="45"/>
      <c r="M663" s="45"/>
      <c r="N663" s="45"/>
    </row>
    <row r="664" spans="1:17" s="135" customFormat="1" ht="20.25" x14ac:dyDescent="0.2">
      <c r="A664" s="47" t="s">
        <v>59</v>
      </c>
      <c r="B664" s="47"/>
      <c r="C664" s="47"/>
      <c r="D664" s="47" t="s">
        <v>60</v>
      </c>
      <c r="E664" s="138"/>
      <c r="F664" s="49">
        <f>F670+F666+F678</f>
        <v>3617747</v>
      </c>
      <c r="G664" s="49">
        <f>G670+G666+G678</f>
        <v>11728800</v>
      </c>
      <c r="H664" s="49">
        <f>F664+G664</f>
        <v>15346547</v>
      </c>
      <c r="I664" s="133"/>
      <c r="J664" s="134"/>
      <c r="K664" s="134"/>
      <c r="L664" s="134"/>
      <c r="M664" s="134"/>
      <c r="N664" s="134"/>
      <c r="O664" s="134"/>
      <c r="P664" s="134"/>
      <c r="Q664" s="134"/>
    </row>
    <row r="665" spans="1:17" s="135" customFormat="1" ht="20.25" x14ac:dyDescent="0.2">
      <c r="A665" s="47" t="s">
        <v>61</v>
      </c>
      <c r="B665" s="47"/>
      <c r="C665" s="47"/>
      <c r="D665" s="50" t="s">
        <v>60</v>
      </c>
      <c r="E665" s="138"/>
      <c r="F665" s="106"/>
      <c r="G665" s="106"/>
      <c r="H665" s="106"/>
      <c r="I665" s="133"/>
      <c r="J665" s="134"/>
      <c r="K665" s="134"/>
      <c r="L665" s="134"/>
      <c r="M665" s="134"/>
      <c r="N665" s="134"/>
      <c r="O665" s="134"/>
      <c r="P665" s="134"/>
      <c r="Q665" s="134"/>
    </row>
    <row r="666" spans="1:17" s="135" customFormat="1" ht="37.5" x14ac:dyDescent="0.2">
      <c r="A666" s="54" t="s">
        <v>62</v>
      </c>
      <c r="B666" s="54" t="s">
        <v>63</v>
      </c>
      <c r="C666" s="54" t="s">
        <v>64</v>
      </c>
      <c r="D666" s="55" t="s">
        <v>65</v>
      </c>
      <c r="E666" s="110"/>
      <c r="F666" s="56">
        <f>SUM(F667:F669)</f>
        <v>117747</v>
      </c>
      <c r="G666" s="56">
        <f>SUM(G667:G669)</f>
        <v>585800</v>
      </c>
      <c r="H666" s="44">
        <f t="shared" ref="H666:H669" si="29">F666+G666</f>
        <v>703547</v>
      </c>
      <c r="I666" s="133"/>
      <c r="J666" s="134"/>
      <c r="K666" s="134"/>
      <c r="L666" s="134"/>
      <c r="M666" s="134"/>
      <c r="N666" s="134"/>
      <c r="O666" s="134"/>
      <c r="P666" s="134"/>
      <c r="Q666" s="134"/>
    </row>
    <row r="667" spans="1:17" s="135" customFormat="1" ht="37.5" x14ac:dyDescent="0.2">
      <c r="A667" s="34"/>
      <c r="B667" s="34"/>
      <c r="C667" s="34"/>
      <c r="D667" s="9"/>
      <c r="E667" s="138" t="s">
        <v>403</v>
      </c>
      <c r="F667" s="66">
        <v>117747</v>
      </c>
      <c r="G667" s="66"/>
      <c r="H667" s="64">
        <f t="shared" si="29"/>
        <v>117747</v>
      </c>
      <c r="I667" s="133"/>
      <c r="J667" s="134"/>
      <c r="K667" s="134"/>
      <c r="L667" s="134"/>
      <c r="M667" s="134"/>
      <c r="N667" s="134"/>
      <c r="O667" s="134"/>
      <c r="P667" s="134"/>
      <c r="Q667" s="134"/>
    </row>
    <row r="668" spans="1:17" s="135" customFormat="1" ht="131.25" x14ac:dyDescent="0.2">
      <c r="A668" s="34"/>
      <c r="B668" s="34"/>
      <c r="C668" s="34"/>
      <c r="D668" s="159"/>
      <c r="E668" s="160" t="s">
        <v>536</v>
      </c>
      <c r="F668" s="66"/>
      <c r="G668" s="66">
        <f>338000</f>
        <v>338000</v>
      </c>
      <c r="H668" s="64">
        <f t="shared" si="29"/>
        <v>338000</v>
      </c>
      <c r="I668" s="133"/>
      <c r="J668" s="134"/>
      <c r="K668" s="134"/>
      <c r="L668" s="134"/>
      <c r="M668" s="134"/>
      <c r="N668" s="134"/>
      <c r="O668" s="134"/>
      <c r="P668" s="134"/>
      <c r="Q668" s="134"/>
    </row>
    <row r="669" spans="1:17" s="135" customFormat="1" ht="131.25" x14ac:dyDescent="0.2">
      <c r="A669" s="34"/>
      <c r="B669" s="34"/>
      <c r="C669" s="34"/>
      <c r="D669" s="159"/>
      <c r="E669" s="160" t="s">
        <v>537</v>
      </c>
      <c r="F669" s="66"/>
      <c r="G669" s="66">
        <f>247800</f>
        <v>247800</v>
      </c>
      <c r="H669" s="64">
        <f t="shared" si="29"/>
        <v>247800</v>
      </c>
      <c r="I669" s="133"/>
      <c r="J669" s="134"/>
      <c r="K669" s="134"/>
      <c r="L669" s="134"/>
      <c r="M669" s="134"/>
      <c r="N669" s="134"/>
      <c r="O669" s="134"/>
      <c r="P669" s="134"/>
      <c r="Q669" s="134"/>
    </row>
    <row r="670" spans="1:17" s="135" customFormat="1" ht="37.5" x14ac:dyDescent="0.2">
      <c r="A670" s="54" t="s">
        <v>433</v>
      </c>
      <c r="B670" s="54" t="s">
        <v>434</v>
      </c>
      <c r="C670" s="54" t="s">
        <v>436</v>
      </c>
      <c r="D670" s="112" t="s">
        <v>435</v>
      </c>
      <c r="E670" s="138"/>
      <c r="F670" s="68">
        <f>SUM(F671:F677)</f>
        <v>3500000</v>
      </c>
      <c r="G670" s="68">
        <f>SUM(G671:G677)</f>
        <v>0</v>
      </c>
      <c r="H670" s="68">
        <f t="shared" ref="H670:H686" si="30">F670+G670</f>
        <v>3500000</v>
      </c>
      <c r="I670" s="133"/>
      <c r="J670" s="134"/>
      <c r="K670" s="134"/>
      <c r="L670" s="134"/>
      <c r="M670" s="134"/>
      <c r="N670" s="134"/>
      <c r="O670" s="134"/>
      <c r="P670" s="134"/>
      <c r="Q670" s="134"/>
    </row>
    <row r="671" spans="1:17" s="135" customFormat="1" ht="56.25" x14ac:dyDescent="0.2">
      <c r="A671" s="54"/>
      <c r="B671" s="54"/>
      <c r="C671" s="54"/>
      <c r="D671" s="112"/>
      <c r="E671" s="138" t="s">
        <v>277</v>
      </c>
      <c r="F671" s="106">
        <v>500000</v>
      </c>
      <c r="G671" s="106"/>
      <c r="H671" s="106">
        <f t="shared" si="30"/>
        <v>500000</v>
      </c>
      <c r="I671" s="133"/>
      <c r="J671" s="134"/>
      <c r="K671" s="134"/>
      <c r="L671" s="134"/>
      <c r="M671" s="134"/>
      <c r="N671" s="134"/>
      <c r="O671" s="134"/>
      <c r="P671" s="134"/>
      <c r="Q671" s="134"/>
    </row>
    <row r="672" spans="1:17" s="135" customFormat="1" ht="56.25" x14ac:dyDescent="0.2">
      <c r="A672" s="54"/>
      <c r="B672" s="54"/>
      <c r="C672" s="54"/>
      <c r="D672" s="112"/>
      <c r="E672" s="138" t="s">
        <v>278</v>
      </c>
      <c r="F672" s="106">
        <v>500000</v>
      </c>
      <c r="G672" s="106"/>
      <c r="H672" s="106">
        <f t="shared" si="30"/>
        <v>500000</v>
      </c>
      <c r="I672" s="133"/>
      <c r="J672" s="134"/>
      <c r="K672" s="134"/>
      <c r="L672" s="134"/>
      <c r="M672" s="134"/>
      <c r="N672" s="134"/>
      <c r="O672" s="134"/>
      <c r="P672" s="134"/>
      <c r="Q672" s="134"/>
    </row>
    <row r="673" spans="1:17" s="135" customFormat="1" ht="56.25" x14ac:dyDescent="0.2">
      <c r="A673" s="54"/>
      <c r="B673" s="54"/>
      <c r="C673" s="54"/>
      <c r="D673" s="112"/>
      <c r="E673" s="138" t="s">
        <v>279</v>
      </c>
      <c r="F673" s="106">
        <v>500000</v>
      </c>
      <c r="G673" s="106"/>
      <c r="H673" s="106">
        <f t="shared" si="30"/>
        <v>500000</v>
      </c>
      <c r="I673" s="133"/>
      <c r="J673" s="134"/>
      <c r="K673" s="134"/>
      <c r="L673" s="134"/>
      <c r="M673" s="134"/>
      <c r="N673" s="134"/>
      <c r="O673" s="134"/>
      <c r="P673" s="134"/>
      <c r="Q673" s="134"/>
    </row>
    <row r="674" spans="1:17" s="135" customFormat="1" ht="56.25" x14ac:dyDescent="0.2">
      <c r="A674" s="54"/>
      <c r="B674" s="54"/>
      <c r="C674" s="54"/>
      <c r="D674" s="112"/>
      <c r="E674" s="138" t="s">
        <v>280</v>
      </c>
      <c r="F674" s="106">
        <v>500000</v>
      </c>
      <c r="G674" s="106"/>
      <c r="H674" s="106">
        <f t="shared" si="30"/>
        <v>500000</v>
      </c>
      <c r="I674" s="133"/>
      <c r="J674" s="134"/>
      <c r="K674" s="134"/>
      <c r="L674" s="134"/>
      <c r="M674" s="134"/>
      <c r="N674" s="134"/>
      <c r="O674" s="134"/>
      <c r="P674" s="134"/>
      <c r="Q674" s="134"/>
    </row>
    <row r="675" spans="1:17" s="135" customFormat="1" ht="56.25" x14ac:dyDescent="0.2">
      <c r="A675" s="54"/>
      <c r="B675" s="54"/>
      <c r="C675" s="54"/>
      <c r="D675" s="112"/>
      <c r="E675" s="138" t="s">
        <v>281</v>
      </c>
      <c r="F675" s="106">
        <v>500000</v>
      </c>
      <c r="G675" s="106"/>
      <c r="H675" s="106">
        <f t="shared" si="30"/>
        <v>500000</v>
      </c>
      <c r="I675" s="133"/>
      <c r="J675" s="134"/>
      <c r="K675" s="134"/>
      <c r="L675" s="134"/>
      <c r="M675" s="134"/>
      <c r="N675" s="134"/>
      <c r="O675" s="134"/>
      <c r="P675" s="134"/>
      <c r="Q675" s="134"/>
    </row>
    <row r="676" spans="1:17" s="135" customFormat="1" ht="56.25" x14ac:dyDescent="0.2">
      <c r="A676" s="54"/>
      <c r="B676" s="54"/>
      <c r="C676" s="54"/>
      <c r="D676" s="112"/>
      <c r="E676" s="138" t="s">
        <v>282</v>
      </c>
      <c r="F676" s="106">
        <v>500000</v>
      </c>
      <c r="G676" s="106"/>
      <c r="H676" s="106">
        <f t="shared" si="30"/>
        <v>500000</v>
      </c>
      <c r="I676" s="133"/>
      <c r="J676" s="134"/>
      <c r="K676" s="134"/>
      <c r="L676" s="134"/>
      <c r="M676" s="134"/>
      <c r="N676" s="134"/>
      <c r="O676" s="134"/>
      <c r="P676" s="134"/>
      <c r="Q676" s="134"/>
    </row>
    <row r="677" spans="1:17" s="135" customFormat="1" ht="56.25" x14ac:dyDescent="0.2">
      <c r="A677" s="54"/>
      <c r="B677" s="54"/>
      <c r="C677" s="54"/>
      <c r="D677" s="112"/>
      <c r="E677" s="138" t="s">
        <v>405</v>
      </c>
      <c r="F677" s="106">
        <f>500000</f>
        <v>500000</v>
      </c>
      <c r="G677" s="106"/>
      <c r="H677" s="106">
        <f t="shared" si="30"/>
        <v>500000</v>
      </c>
      <c r="I677" s="133"/>
      <c r="J677" s="134"/>
      <c r="K677" s="134"/>
      <c r="L677" s="134"/>
      <c r="M677" s="134"/>
      <c r="N677" s="134"/>
      <c r="O677" s="134"/>
      <c r="P677" s="134"/>
      <c r="Q677" s="134"/>
    </row>
    <row r="678" spans="1:17" s="135" customFormat="1" ht="75" x14ac:dyDescent="0.2">
      <c r="A678" s="41" t="s">
        <v>514</v>
      </c>
      <c r="B678" s="41" t="s">
        <v>515</v>
      </c>
      <c r="C678" s="41" t="s">
        <v>516</v>
      </c>
      <c r="D678" s="42" t="s">
        <v>517</v>
      </c>
      <c r="E678" s="138"/>
      <c r="F678" s="68">
        <f>SUM(F679)</f>
        <v>0</v>
      </c>
      <c r="G678" s="68">
        <f>SUM(G679)</f>
        <v>11143000</v>
      </c>
      <c r="H678" s="68">
        <f t="shared" si="30"/>
        <v>11143000</v>
      </c>
      <c r="I678" s="133"/>
      <c r="J678" s="134"/>
      <c r="K678" s="134"/>
      <c r="L678" s="134"/>
      <c r="M678" s="134"/>
      <c r="N678" s="134"/>
      <c r="O678" s="134"/>
      <c r="P678" s="134"/>
      <c r="Q678" s="134"/>
    </row>
    <row r="679" spans="1:17" s="135" customFormat="1" ht="112.5" x14ac:dyDescent="0.2">
      <c r="A679" s="54"/>
      <c r="B679" s="54"/>
      <c r="C679" s="54"/>
      <c r="D679" s="112"/>
      <c r="E679" s="138" t="s">
        <v>518</v>
      </c>
      <c r="F679" s="106"/>
      <c r="G679" s="106">
        <f>11143000</f>
        <v>11143000</v>
      </c>
      <c r="H679" s="106">
        <f t="shared" si="30"/>
        <v>11143000</v>
      </c>
      <c r="I679" s="133"/>
      <c r="J679" s="134"/>
      <c r="K679" s="134"/>
      <c r="L679" s="134"/>
      <c r="M679" s="134"/>
      <c r="N679" s="134"/>
      <c r="O679" s="134"/>
      <c r="P679" s="134"/>
      <c r="Q679" s="134"/>
    </row>
    <row r="680" spans="1:17" s="135" customFormat="1" ht="37.5" x14ac:dyDescent="0.2">
      <c r="A680" s="142" t="s">
        <v>42</v>
      </c>
      <c r="B680" s="142"/>
      <c r="C680" s="142"/>
      <c r="D680" s="142" t="s">
        <v>43</v>
      </c>
      <c r="E680" s="143"/>
      <c r="F680" s="49">
        <f>F682+F684</f>
        <v>4538990</v>
      </c>
      <c r="G680" s="49">
        <f>G682+G684</f>
        <v>38613</v>
      </c>
      <c r="H680" s="49">
        <f t="shared" si="30"/>
        <v>4577603</v>
      </c>
      <c r="I680" s="133"/>
      <c r="J680" s="134"/>
      <c r="K680" s="134"/>
      <c r="L680" s="134"/>
      <c r="M680" s="134"/>
      <c r="N680" s="134"/>
      <c r="O680" s="134"/>
      <c r="P680" s="134"/>
      <c r="Q680" s="134"/>
    </row>
    <row r="681" spans="1:17" s="135" customFormat="1" ht="37.5" x14ac:dyDescent="0.2">
      <c r="A681" s="142" t="s">
        <v>44</v>
      </c>
      <c r="B681" s="142"/>
      <c r="C681" s="142"/>
      <c r="D681" s="144" t="s">
        <v>43</v>
      </c>
      <c r="E681" s="143"/>
      <c r="F681" s="106"/>
      <c r="G681" s="106"/>
      <c r="H681" s="106">
        <f t="shared" si="30"/>
        <v>0</v>
      </c>
      <c r="I681" s="133"/>
      <c r="J681" s="134"/>
      <c r="K681" s="134"/>
      <c r="L681" s="134"/>
      <c r="M681" s="134"/>
      <c r="N681" s="134"/>
      <c r="O681" s="134"/>
      <c r="P681" s="134"/>
      <c r="Q681" s="134"/>
    </row>
    <row r="682" spans="1:17" s="135" customFormat="1" ht="356.25" x14ac:dyDescent="0.2">
      <c r="A682" s="145" t="s">
        <v>505</v>
      </c>
      <c r="B682" s="146" t="s">
        <v>506</v>
      </c>
      <c r="C682" s="146" t="s">
        <v>507</v>
      </c>
      <c r="D682" s="147" t="s">
        <v>508</v>
      </c>
      <c r="E682" s="148"/>
      <c r="F682" s="106">
        <f>F683</f>
        <v>2810938</v>
      </c>
      <c r="G682" s="68">
        <f>G683</f>
        <v>38613</v>
      </c>
      <c r="H682" s="68">
        <f t="shared" si="30"/>
        <v>2849551</v>
      </c>
      <c r="I682" s="133"/>
      <c r="J682" s="134"/>
      <c r="K682" s="134"/>
      <c r="L682" s="134"/>
      <c r="M682" s="134"/>
      <c r="N682" s="134"/>
      <c r="O682" s="134"/>
      <c r="P682" s="134"/>
      <c r="Q682" s="134"/>
    </row>
    <row r="683" spans="1:17" s="135" customFormat="1" ht="262.5" x14ac:dyDescent="0.2">
      <c r="A683" s="149"/>
      <c r="B683" s="149"/>
      <c r="C683" s="149"/>
      <c r="D683" s="150"/>
      <c r="E683" s="158" t="s">
        <v>508</v>
      </c>
      <c r="F683" s="106">
        <v>2810938</v>
      </c>
      <c r="G683" s="106">
        <f>38613</f>
        <v>38613</v>
      </c>
      <c r="H683" s="106">
        <f t="shared" si="30"/>
        <v>2849551</v>
      </c>
      <c r="I683" s="133"/>
      <c r="J683" s="134"/>
      <c r="K683" s="134"/>
      <c r="L683" s="134"/>
      <c r="M683" s="134"/>
      <c r="N683" s="134"/>
      <c r="O683" s="134"/>
      <c r="P683" s="134"/>
      <c r="Q683" s="134"/>
    </row>
    <row r="684" spans="1:17" s="135" customFormat="1" ht="300" x14ac:dyDescent="0.2">
      <c r="A684" s="146" t="s">
        <v>509</v>
      </c>
      <c r="B684" s="146" t="s">
        <v>510</v>
      </c>
      <c r="C684" s="146" t="s">
        <v>507</v>
      </c>
      <c r="D684" s="151" t="s">
        <v>511</v>
      </c>
      <c r="E684" s="148"/>
      <c r="F684" s="106">
        <f>F685</f>
        <v>1728052</v>
      </c>
      <c r="G684" s="68">
        <f>G685</f>
        <v>0</v>
      </c>
      <c r="H684" s="68">
        <f t="shared" si="30"/>
        <v>1728052</v>
      </c>
      <c r="I684" s="133"/>
      <c r="J684" s="134"/>
      <c r="K684" s="134"/>
      <c r="L684" s="134"/>
      <c r="M684" s="134"/>
      <c r="N684" s="134"/>
      <c r="O684" s="134"/>
      <c r="P684" s="134"/>
      <c r="Q684" s="134"/>
    </row>
    <row r="685" spans="1:17" s="135" customFormat="1" ht="211.5" customHeight="1" x14ac:dyDescent="0.2">
      <c r="A685" s="149"/>
      <c r="B685" s="149"/>
      <c r="C685" s="149"/>
      <c r="D685" s="150"/>
      <c r="E685" s="158" t="s">
        <v>511</v>
      </c>
      <c r="F685" s="106">
        <v>1728052</v>
      </c>
      <c r="G685" s="106"/>
      <c r="H685" s="106">
        <f t="shared" si="30"/>
        <v>1728052</v>
      </c>
      <c r="I685" s="133"/>
      <c r="J685" s="134"/>
      <c r="K685" s="134"/>
      <c r="L685" s="134"/>
      <c r="M685" s="134"/>
      <c r="N685" s="134"/>
      <c r="O685" s="134"/>
      <c r="P685" s="134"/>
      <c r="Q685" s="134"/>
    </row>
    <row r="686" spans="1:17" s="135" customFormat="1" ht="37.5" x14ac:dyDescent="0.2">
      <c r="A686" s="47" t="s">
        <v>355</v>
      </c>
      <c r="B686" s="47"/>
      <c r="C686" s="47"/>
      <c r="D686" s="29" t="s">
        <v>82</v>
      </c>
      <c r="E686" s="138"/>
      <c r="F686" s="49">
        <f>F688</f>
        <v>515253</v>
      </c>
      <c r="G686" s="49">
        <f>G688</f>
        <v>0</v>
      </c>
      <c r="H686" s="49">
        <f t="shared" si="30"/>
        <v>515253</v>
      </c>
      <c r="I686" s="133"/>
      <c r="J686" s="134"/>
      <c r="K686" s="134"/>
      <c r="L686" s="134"/>
      <c r="M686" s="134"/>
      <c r="N686" s="134"/>
      <c r="O686" s="134"/>
      <c r="P686" s="134"/>
      <c r="Q686" s="134"/>
    </row>
    <row r="687" spans="1:17" s="135" customFormat="1" ht="37.5" x14ac:dyDescent="0.2">
      <c r="A687" s="47" t="s">
        <v>356</v>
      </c>
      <c r="B687" s="47"/>
      <c r="C687" s="47"/>
      <c r="D687" s="37" t="s">
        <v>82</v>
      </c>
      <c r="E687" s="138"/>
      <c r="F687" s="106"/>
      <c r="G687" s="106"/>
      <c r="H687" s="49"/>
      <c r="I687" s="133"/>
      <c r="J687" s="134"/>
      <c r="K687" s="134"/>
      <c r="L687" s="134"/>
      <c r="M687" s="134"/>
      <c r="N687" s="134"/>
      <c r="O687" s="134"/>
      <c r="P687" s="134"/>
      <c r="Q687" s="134"/>
    </row>
    <row r="688" spans="1:17" s="135" customFormat="1" ht="56.25" x14ac:dyDescent="0.2">
      <c r="A688" s="54" t="s">
        <v>357</v>
      </c>
      <c r="B688" s="54" t="s">
        <v>358</v>
      </c>
      <c r="C688" s="54" t="s">
        <v>9</v>
      </c>
      <c r="D688" s="112" t="s">
        <v>359</v>
      </c>
      <c r="E688" s="138"/>
      <c r="F688" s="68">
        <f>SUM(F689:F690)</f>
        <v>515253</v>
      </c>
      <c r="G688" s="68">
        <f>SUM(G689:G690)</f>
        <v>0</v>
      </c>
      <c r="H688" s="68">
        <f t="shared" ref="H688:H690" si="31">F688+G688</f>
        <v>515253</v>
      </c>
      <c r="I688" s="133"/>
      <c r="J688" s="134"/>
      <c r="K688" s="134"/>
      <c r="L688" s="134"/>
      <c r="M688" s="134"/>
      <c r="N688" s="134"/>
      <c r="O688" s="134"/>
      <c r="P688" s="134"/>
      <c r="Q688" s="134"/>
    </row>
    <row r="689" spans="1:19" s="135" customFormat="1" ht="56.25" x14ac:dyDescent="0.2">
      <c r="A689" s="54"/>
      <c r="B689" s="54"/>
      <c r="C689" s="54"/>
      <c r="D689" s="112"/>
      <c r="E689" s="138" t="s">
        <v>360</v>
      </c>
      <c r="F689" s="106">
        <f>515253-300000</f>
        <v>215253</v>
      </c>
      <c r="G689" s="106"/>
      <c r="H689" s="106">
        <f t="shared" si="31"/>
        <v>215253</v>
      </c>
      <c r="I689" s="133"/>
      <c r="J689" s="134"/>
      <c r="K689" s="152"/>
      <c r="L689" s="134"/>
      <c r="M689" s="134"/>
      <c r="N689" s="134"/>
      <c r="O689" s="134"/>
      <c r="P689" s="134"/>
      <c r="Q689" s="134"/>
    </row>
    <row r="690" spans="1:19" s="135" customFormat="1" ht="20.25" x14ac:dyDescent="0.2">
      <c r="A690" s="54"/>
      <c r="B690" s="54"/>
      <c r="C690" s="54"/>
      <c r="D690" s="112"/>
      <c r="E690" s="138" t="s">
        <v>417</v>
      </c>
      <c r="F690" s="106">
        <f>300000</f>
        <v>300000</v>
      </c>
      <c r="G690" s="106"/>
      <c r="H690" s="106">
        <f t="shared" si="31"/>
        <v>300000</v>
      </c>
      <c r="I690" s="133"/>
      <c r="J690" s="134"/>
      <c r="K690" s="134"/>
      <c r="L690" s="134"/>
      <c r="M690" s="134"/>
      <c r="N690" s="134"/>
      <c r="O690" s="134"/>
      <c r="P690" s="134"/>
      <c r="Q690" s="134"/>
    </row>
    <row r="691" spans="1:19" s="135" customFormat="1" ht="40.5" x14ac:dyDescent="0.2">
      <c r="A691" s="54"/>
      <c r="B691" s="54"/>
      <c r="C691" s="54"/>
      <c r="D691" s="112"/>
      <c r="E691" s="78" t="s">
        <v>190</v>
      </c>
      <c r="F691" s="79">
        <f>F648+F650+F664+F686+F680</f>
        <v>425724438</v>
      </c>
      <c r="G691" s="79">
        <f>G648+G650+G664+G686+G680</f>
        <v>71268636</v>
      </c>
      <c r="H691" s="79">
        <f>H648+H650+H664+H686+H680</f>
        <v>496993074</v>
      </c>
      <c r="I691" s="133"/>
      <c r="J691" s="163"/>
      <c r="K691" s="163"/>
      <c r="L691" s="164"/>
      <c r="M691" s="165"/>
      <c r="N691" s="13"/>
      <c r="O691" s="11"/>
      <c r="P691" s="12"/>
      <c r="Q691" s="134"/>
    </row>
    <row r="692" spans="1:19" s="131" customFormat="1" ht="20.25" x14ac:dyDescent="0.2">
      <c r="A692" s="130"/>
      <c r="B692" s="130"/>
      <c r="C692" s="130"/>
      <c r="D692" s="130"/>
      <c r="E692" s="78" t="s">
        <v>272</v>
      </c>
      <c r="F692" s="99">
        <f>F691+F303+F98</f>
        <v>1206552004</v>
      </c>
      <c r="G692" s="99">
        <f>G691+G303+G98</f>
        <v>-427738884</v>
      </c>
      <c r="H692" s="99">
        <f>H691+H303+H98</f>
        <v>778813120</v>
      </c>
      <c r="I692" s="11"/>
      <c r="J692" s="13"/>
      <c r="K692" s="13"/>
      <c r="L692" s="11"/>
      <c r="M692" s="12"/>
      <c r="N692" s="14"/>
      <c r="O692" s="15"/>
      <c r="P692" s="15"/>
      <c r="Q692" s="11"/>
      <c r="R692" s="11"/>
      <c r="S692" s="11"/>
    </row>
    <row r="693" spans="1:19" ht="20.25" x14ac:dyDescent="0.2">
      <c r="J693" s="13"/>
      <c r="K693" s="14"/>
    </row>
    <row r="695" spans="1:19" x14ac:dyDescent="0.2">
      <c r="C695" s="18" t="s">
        <v>140</v>
      </c>
      <c r="D695" s="154"/>
      <c r="E695" s="154"/>
      <c r="F695" s="153" t="s">
        <v>141</v>
      </c>
    </row>
    <row r="696" spans="1:19" x14ac:dyDescent="0.2">
      <c r="F696" s="155"/>
      <c r="G696" s="155"/>
      <c r="H696" s="155"/>
      <c r="J696" s="18"/>
    </row>
    <row r="697" spans="1:19" x14ac:dyDescent="0.2">
      <c r="F697" s="155"/>
      <c r="G697" s="155"/>
      <c r="H697" s="155"/>
    </row>
    <row r="702" spans="1:19" x14ac:dyDescent="0.2">
      <c r="H702" s="155"/>
    </row>
  </sheetData>
  <mergeCells count="11">
    <mergeCell ref="A304:H304"/>
    <mergeCell ref="A649:E649"/>
    <mergeCell ref="F1:H1"/>
    <mergeCell ref="F2:H2"/>
    <mergeCell ref="F3:H3"/>
    <mergeCell ref="A5:H5"/>
    <mergeCell ref="A99:H99"/>
    <mergeCell ref="A1:E1"/>
    <mergeCell ref="A8:H8"/>
    <mergeCell ref="A2:D2"/>
    <mergeCell ref="A239:E239"/>
  </mergeCells>
  <conditionalFormatting sqref="D376:D377">
    <cfRule type="uniqueValues" dxfId="1" priority="1" stopIfTrue="1"/>
  </conditionalFormatting>
  <conditionalFormatting sqref="B376:B377">
    <cfRule type="uniqueValues" dxfId="0" priority="2" stopIfTrue="1"/>
  </conditionalFormatting>
  <pageMargins left="0" right="0" top="1.3779527559055118" bottom="0" header="0.31496062992125984" footer="0.31496062992125984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27.10.2020</vt:lpstr>
      <vt:lpstr>'27.10.2020'!Заголовки_для_печати</vt:lpstr>
      <vt:lpstr>'27.10.2020'!Область_печати</vt:lpstr>
    </vt:vector>
  </TitlesOfParts>
  <Company>Организация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Admin</cp:lastModifiedBy>
  <cp:lastPrinted>2020-11-09T13:21:57Z</cp:lastPrinted>
  <dcterms:created xsi:type="dcterms:W3CDTF">2015-09-11T08:54:23Z</dcterms:created>
  <dcterms:modified xsi:type="dcterms:W3CDTF">2020-11-10T11:25:53Z</dcterms:modified>
</cp:coreProperties>
</file>