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28800" windowHeight="12525" tabRatio="0"/>
  </bookViews>
  <sheets>
    <sheet name="TDSheet" sheetId="1" r:id="rId1"/>
  </sheets>
  <definedNames>
    <definedName name="_xlnm.Print_Titles" localSheetId="0">TDSheet!$6:$9</definedName>
  </definedNames>
  <calcPr calcId="162913" refMode="R1C1"/>
</workbook>
</file>

<file path=xl/calcChain.xml><?xml version="1.0" encoding="utf-8"?>
<calcChain xmlns="http://schemas.openxmlformats.org/spreadsheetml/2006/main">
  <c r="N234" i="1" l="1"/>
  <c r="L234" i="1"/>
  <c r="N12" i="1"/>
  <c r="L12" i="1"/>
  <c r="G120" i="1" l="1"/>
  <c r="N85" i="1" l="1"/>
  <c r="L85" i="1"/>
  <c r="G85" i="1"/>
  <c r="G87" i="1"/>
  <c r="G70" i="1" l="1"/>
  <c r="G297" i="1"/>
  <c r="G59" i="1"/>
  <c r="G302" i="1"/>
  <c r="G12" i="1"/>
  <c r="G24" i="1"/>
  <c r="G18" i="1"/>
  <c r="Q309" i="1" l="1"/>
  <c r="P308" i="1"/>
  <c r="P309" i="1"/>
  <c r="P310" i="1"/>
  <c r="F310" i="1"/>
  <c r="Q310" i="1" s="1"/>
  <c r="I309" i="1"/>
  <c r="R309" i="1" s="1"/>
  <c r="I310" i="1"/>
  <c r="R310" i="1" s="1"/>
  <c r="F306" i="1"/>
  <c r="F307" i="1"/>
  <c r="F308" i="1"/>
  <c r="I308" i="1" s="1"/>
  <c r="R308" i="1" s="1"/>
  <c r="Q308" i="1" l="1"/>
  <c r="G273" i="1"/>
  <c r="G232" i="1"/>
  <c r="G213" i="1"/>
  <c r="G84" i="1" l="1"/>
  <c r="G82" i="1"/>
  <c r="G249" i="1" l="1"/>
  <c r="G301" i="1" l="1"/>
  <c r="G262" i="1"/>
  <c r="G199" i="1"/>
  <c r="G291" i="1"/>
  <c r="G137" i="1"/>
  <c r="G105" i="1"/>
  <c r="G63" i="1"/>
  <c r="G98" i="1" l="1"/>
  <c r="G100" i="1"/>
  <c r="G92" i="1"/>
  <c r="G96" i="1"/>
  <c r="G90" i="1"/>
  <c r="G64" i="1"/>
  <c r="G71" i="1"/>
  <c r="G86" i="1"/>
  <c r="G83" i="1"/>
  <c r="G190" i="1" l="1"/>
  <c r="G177" i="1"/>
  <c r="G191" i="1" l="1"/>
  <c r="G183" i="1"/>
  <c r="G176" i="1"/>
  <c r="G214" i="1" l="1"/>
  <c r="N226" i="1" l="1"/>
  <c r="L226" i="1"/>
  <c r="N224" i="1"/>
  <c r="L224" i="1"/>
  <c r="N219" i="1"/>
  <c r="L219" i="1"/>
  <c r="N93" i="1"/>
  <c r="L93" i="1"/>
  <c r="N84" i="1"/>
  <c r="L84" i="1"/>
  <c r="N70" i="1"/>
  <c r="L70" i="1"/>
  <c r="N64" i="1"/>
  <c r="L64" i="1"/>
  <c r="G159" i="1" l="1"/>
  <c r="G162" i="1"/>
  <c r="G150" i="1"/>
  <c r="G299" i="1" l="1"/>
  <c r="G115" i="1" l="1"/>
  <c r="G117" i="1"/>
  <c r="G305" i="1" l="1"/>
  <c r="E43" i="1" l="1"/>
  <c r="G112" i="1" l="1"/>
  <c r="G106" i="1"/>
  <c r="G223" i="1" l="1"/>
  <c r="G219" i="1"/>
  <c r="P235" i="1" l="1"/>
  <c r="Q235" i="1"/>
  <c r="R235" i="1"/>
  <c r="P236" i="1"/>
  <c r="N236" i="1"/>
  <c r="K236" i="1" s="1"/>
  <c r="Q236" i="1" s="1"/>
  <c r="L236" i="1"/>
  <c r="M230" i="1"/>
  <c r="J230" i="1"/>
  <c r="N266" i="1"/>
  <c r="L266" i="1"/>
  <c r="N242" i="1"/>
  <c r="L242" i="1"/>
  <c r="N241" i="1"/>
  <c r="L241" i="1"/>
  <c r="N237" i="1"/>
  <c r="L237" i="1"/>
  <c r="N106" i="1"/>
  <c r="L106" i="1"/>
  <c r="O236" i="1" l="1"/>
  <c r="R236" i="1" s="1"/>
  <c r="E160" i="1"/>
  <c r="E162" i="1"/>
  <c r="E154" i="1"/>
  <c r="G165" i="1" l="1"/>
  <c r="E155" i="1" l="1"/>
  <c r="G158" i="1"/>
  <c r="G155" i="1" l="1"/>
  <c r="G192" i="1" l="1"/>
  <c r="K179" i="1"/>
  <c r="O179" i="1" s="1"/>
  <c r="P178" i="1"/>
  <c r="P179" i="1"/>
  <c r="F179" i="1"/>
  <c r="I179" i="1" s="1"/>
  <c r="G181" i="1"/>
  <c r="R179" i="1" l="1"/>
  <c r="Q179" i="1"/>
  <c r="G208" i="1"/>
  <c r="E39" i="1" l="1"/>
  <c r="E40" i="1"/>
  <c r="E306" i="1"/>
  <c r="G204" i="1" l="1"/>
  <c r="G160" i="1" l="1"/>
  <c r="G154" i="1" s="1"/>
  <c r="G93" i="1" l="1"/>
  <c r="R209" i="1" l="1"/>
  <c r="Q209" i="1"/>
  <c r="P209" i="1"/>
  <c r="P210" i="1"/>
  <c r="P327" i="1"/>
  <c r="P332" i="1"/>
  <c r="G34" i="1"/>
  <c r="G35" i="1"/>
  <c r="F87" i="1" l="1"/>
  <c r="I87" i="1" s="1"/>
  <c r="J112" i="1" l="1"/>
  <c r="J106" i="1"/>
  <c r="P189" i="1"/>
  <c r="K189" i="1"/>
  <c r="F189" i="1"/>
  <c r="I189" i="1" s="1"/>
  <c r="P188" i="1"/>
  <c r="K188" i="1"/>
  <c r="O188" i="1" s="1"/>
  <c r="F188" i="1"/>
  <c r="P187" i="1"/>
  <c r="K187" i="1"/>
  <c r="O187" i="1" s="1"/>
  <c r="F187" i="1"/>
  <c r="K78" i="1"/>
  <c r="O78" i="1" s="1"/>
  <c r="K79" i="1"/>
  <c r="O79" i="1" s="1"/>
  <c r="K80" i="1"/>
  <c r="O80" i="1" s="1"/>
  <c r="K81" i="1"/>
  <c r="O81" i="1" s="1"/>
  <c r="P80" i="1"/>
  <c r="P81" i="1"/>
  <c r="P66" i="1"/>
  <c r="P67" i="1"/>
  <c r="P68" i="1"/>
  <c r="P69" i="1"/>
  <c r="O66" i="1"/>
  <c r="O67" i="1"/>
  <c r="O68" i="1"/>
  <c r="O69" i="1"/>
  <c r="N167" i="1"/>
  <c r="K167" i="1" s="1"/>
  <c r="O167" i="1" s="1"/>
  <c r="R167" i="1" s="1"/>
  <c r="L35" i="1"/>
  <c r="N329" i="1"/>
  <c r="L329" i="1"/>
  <c r="N297" i="1"/>
  <c r="L297" i="1"/>
  <c r="N273" i="1"/>
  <c r="M280" i="1"/>
  <c r="N284" i="1"/>
  <c r="N283" i="1"/>
  <c r="L283" i="1"/>
  <c r="L284" i="1"/>
  <c r="L273" i="1"/>
  <c r="N269" i="1"/>
  <c r="L269" i="1"/>
  <c r="N258" i="1"/>
  <c r="N256" i="1"/>
  <c r="L258" i="1"/>
  <c r="L256" i="1"/>
  <c r="N244" i="1"/>
  <c r="N240" i="1"/>
  <c r="N239" i="1"/>
  <c r="L244" i="1"/>
  <c r="L240" i="1"/>
  <c r="L239" i="1"/>
  <c r="N222" i="1"/>
  <c r="N215" i="1"/>
  <c r="N213" i="1"/>
  <c r="N229" i="1"/>
  <c r="L222" i="1"/>
  <c r="L215" i="1"/>
  <c r="L213" i="1"/>
  <c r="N183" i="1"/>
  <c r="L183" i="1"/>
  <c r="J135" i="1"/>
  <c r="L167" i="1"/>
  <c r="P167" i="1"/>
  <c r="M154" i="1"/>
  <c r="M135" i="1" s="1"/>
  <c r="N158" i="1"/>
  <c r="L158" i="1"/>
  <c r="N155" i="1"/>
  <c r="N154" i="1" s="1"/>
  <c r="L155" i="1"/>
  <c r="N100" i="1"/>
  <c r="N92" i="1"/>
  <c r="N91" i="1" s="1"/>
  <c r="L100" i="1"/>
  <c r="L92" i="1"/>
  <c r="N35" i="1"/>
  <c r="K35" i="1" s="1"/>
  <c r="N29" i="1"/>
  <c r="L29" i="1"/>
  <c r="N230" i="1" l="1"/>
  <c r="L230" i="1"/>
  <c r="N135" i="1"/>
  <c r="N280" i="1"/>
  <c r="L280" i="1"/>
  <c r="Q188" i="1"/>
  <c r="Q187" i="1"/>
  <c r="Q189" i="1"/>
  <c r="I188" i="1"/>
  <c r="R188" i="1" s="1"/>
  <c r="O189" i="1"/>
  <c r="R189" i="1" s="1"/>
  <c r="I187" i="1"/>
  <c r="R187" i="1" s="1"/>
  <c r="Q167" i="1"/>
  <c r="G109" i="1" l="1"/>
  <c r="G128" i="1" l="1"/>
  <c r="K178" i="1" l="1"/>
  <c r="O178" i="1" s="1"/>
  <c r="F178" i="1"/>
  <c r="I178" i="1" l="1"/>
  <c r="R178" i="1" s="1"/>
  <c r="Q178" i="1"/>
  <c r="G282" i="1"/>
  <c r="G283" i="1"/>
  <c r="G286" i="1"/>
  <c r="G284" i="1"/>
  <c r="G32" i="1" l="1"/>
  <c r="F32" i="1" s="1"/>
  <c r="G21" i="1"/>
  <c r="G16" i="1" s="1"/>
  <c r="F16" i="1" s="1"/>
  <c r="L154" i="1"/>
  <c r="L135" i="1" s="1"/>
  <c r="E311" i="1"/>
  <c r="G311" i="1"/>
  <c r="G295" i="1" s="1"/>
  <c r="H311" i="1"/>
  <c r="E299" i="1"/>
  <c r="H299" i="1"/>
  <c r="P331" i="1"/>
  <c r="E280" i="1"/>
  <c r="G280" i="1"/>
  <c r="F280" i="1" s="1"/>
  <c r="H280" i="1"/>
  <c r="F108" i="1"/>
  <c r="I108" i="1" s="1"/>
  <c r="F109" i="1"/>
  <c r="I109" i="1" s="1"/>
  <c r="I110" i="1"/>
  <c r="G103" i="1"/>
  <c r="E57" i="1"/>
  <c r="E44" i="1"/>
  <c r="E16" i="1"/>
  <c r="H16" i="1"/>
  <c r="P48" i="1"/>
  <c r="P49" i="1"/>
  <c r="P50" i="1"/>
  <c r="E32" i="1"/>
  <c r="H32" i="1"/>
  <c r="E295" i="1" l="1"/>
  <c r="H295" i="1"/>
  <c r="F331" i="1" l="1"/>
  <c r="I331" i="1" s="1"/>
  <c r="F68" i="1" l="1"/>
  <c r="I68" i="1" l="1"/>
  <c r="R68" i="1" s="1"/>
  <c r="Q68" i="1"/>
  <c r="E107" i="1"/>
  <c r="M174" i="1" l="1"/>
  <c r="N174" i="1"/>
  <c r="P109" i="1"/>
  <c r="K109" i="1"/>
  <c r="J103" i="1"/>
  <c r="Q109" i="1" l="1"/>
  <c r="O109" i="1"/>
  <c r="R109" i="1" s="1"/>
  <c r="F210" i="1" l="1"/>
  <c r="I210" i="1" l="1"/>
  <c r="R210" i="1" s="1"/>
  <c r="Q210" i="1"/>
  <c r="E125" i="1"/>
  <c r="E124" i="1"/>
  <c r="I123" i="1"/>
  <c r="P27" i="1" l="1"/>
  <c r="F27" i="1"/>
  <c r="I27" i="1" s="1"/>
  <c r="J10" i="1"/>
  <c r="R27" i="1" l="1"/>
  <c r="Q27" i="1"/>
  <c r="F293" i="1" l="1"/>
  <c r="F253" i="1" l="1"/>
  <c r="Q253" i="1" s="1"/>
  <c r="P253" i="1"/>
  <c r="H247" i="1"/>
  <c r="E247" i="1"/>
  <c r="E10" i="1"/>
  <c r="P10" i="1" s="1"/>
  <c r="G247" i="1" l="1"/>
  <c r="I253" i="1"/>
  <c r="R253" i="1" s="1"/>
  <c r="F73" i="1" l="1"/>
  <c r="I73" i="1" s="1"/>
  <c r="J211" i="1" l="1"/>
  <c r="P319" i="1" l="1"/>
  <c r="P320" i="1"/>
  <c r="P321" i="1"/>
  <c r="P322" i="1"/>
  <c r="P323" i="1"/>
  <c r="P324" i="1"/>
  <c r="J311" i="1"/>
  <c r="P311" i="1" s="1"/>
  <c r="K319" i="1"/>
  <c r="O319" i="1" s="1"/>
  <c r="K320" i="1"/>
  <c r="K321" i="1"/>
  <c r="K323" i="1"/>
  <c r="O323" i="1" s="1"/>
  <c r="K324" i="1"/>
  <c r="K325" i="1"/>
  <c r="O325" i="1" s="1"/>
  <c r="K326" i="1"/>
  <c r="K327" i="1"/>
  <c r="K328" i="1"/>
  <c r="K329" i="1"/>
  <c r="K330" i="1"/>
  <c r="K332" i="1"/>
  <c r="K333" i="1"/>
  <c r="K334" i="1"/>
  <c r="K322" i="1"/>
  <c r="M311" i="1"/>
  <c r="M295" i="1" s="1"/>
  <c r="L311" i="1"/>
  <c r="N260" i="1"/>
  <c r="M260" i="1"/>
  <c r="J260" i="1"/>
  <c r="P270" i="1"/>
  <c r="K270" i="1"/>
  <c r="O270" i="1" s="1"/>
  <c r="R270" i="1" s="1"/>
  <c r="P222" i="1"/>
  <c r="K221" i="1"/>
  <c r="K222" i="1"/>
  <c r="Q222" i="1" s="1"/>
  <c r="K223" i="1"/>
  <c r="O223" i="1" s="1"/>
  <c r="K224" i="1"/>
  <c r="N211" i="1"/>
  <c r="M211" i="1"/>
  <c r="P158" i="1"/>
  <c r="P159" i="1"/>
  <c r="N103" i="1"/>
  <c r="M103" i="1"/>
  <c r="P131" i="1"/>
  <c r="P132" i="1"/>
  <c r="P133" i="1"/>
  <c r="K129" i="1"/>
  <c r="Q129" i="1" s="1"/>
  <c r="K130" i="1"/>
  <c r="Q130" i="1" s="1"/>
  <c r="K131" i="1"/>
  <c r="O131" i="1" s="1"/>
  <c r="R131" i="1" s="1"/>
  <c r="K132" i="1"/>
  <c r="O132" i="1" s="1"/>
  <c r="K133" i="1"/>
  <c r="Q133" i="1" s="1"/>
  <c r="F132" i="1"/>
  <c r="K86" i="1"/>
  <c r="P87" i="1"/>
  <c r="K87" i="1"/>
  <c r="G91" i="1"/>
  <c r="G61" i="1" s="1"/>
  <c r="K44" i="1"/>
  <c r="I14" i="1"/>
  <c r="E61" i="1"/>
  <c r="G44" i="1"/>
  <c r="Q322" i="1" l="1"/>
  <c r="O322" i="1"/>
  <c r="R322" i="1" s="1"/>
  <c r="Q324" i="1"/>
  <c r="O324" i="1"/>
  <c r="R324" i="1" s="1"/>
  <c r="Q321" i="1"/>
  <c r="O321" i="1"/>
  <c r="R321" i="1" s="1"/>
  <c r="Q320" i="1"/>
  <c r="O320" i="1"/>
  <c r="R320" i="1" s="1"/>
  <c r="L103" i="1"/>
  <c r="N311" i="1"/>
  <c r="N295" i="1" s="1"/>
  <c r="L260" i="1"/>
  <c r="L295" i="1"/>
  <c r="J295" i="1"/>
  <c r="P295" i="1" s="1"/>
  <c r="L211" i="1"/>
  <c r="Q270" i="1"/>
  <c r="O133" i="1"/>
  <c r="R133" i="1" s="1"/>
  <c r="O222" i="1"/>
  <c r="R222" i="1" s="1"/>
  <c r="Q132" i="1"/>
  <c r="Q131" i="1"/>
  <c r="I132" i="1"/>
  <c r="R132" i="1" s="1"/>
  <c r="Q87" i="1"/>
  <c r="O87" i="1"/>
  <c r="R87" i="1" s="1"/>
  <c r="F332" i="1" l="1"/>
  <c r="Q332" i="1" s="1"/>
  <c r="I332" i="1" l="1"/>
  <c r="R332" i="1" s="1"/>
  <c r="P330" i="1" l="1"/>
  <c r="I325" i="1"/>
  <c r="I326" i="1"/>
  <c r="I327" i="1"/>
  <c r="I328" i="1"/>
  <c r="I329" i="1"/>
  <c r="F330" i="1"/>
  <c r="I330" i="1" s="1"/>
  <c r="R330" i="1" s="1"/>
  <c r="Q330" i="1" l="1"/>
  <c r="H135" i="1"/>
  <c r="P334" i="1" l="1"/>
  <c r="Q327" i="1"/>
  <c r="P254" i="1"/>
  <c r="P255" i="1"/>
  <c r="K250" i="1"/>
  <c r="K251" i="1"/>
  <c r="O251" i="1" s="1"/>
  <c r="K252" i="1"/>
  <c r="O252" i="1" s="1"/>
  <c r="K254" i="1"/>
  <c r="Q254" i="1" s="1"/>
  <c r="K255" i="1"/>
  <c r="Q255" i="1" s="1"/>
  <c r="P221" i="1"/>
  <c r="K220" i="1"/>
  <c r="O220" i="1" s="1"/>
  <c r="O221" i="1"/>
  <c r="R221" i="1" s="1"/>
  <c r="P186" i="1"/>
  <c r="K184" i="1"/>
  <c r="O184" i="1" s="1"/>
  <c r="K185" i="1"/>
  <c r="O185" i="1" s="1"/>
  <c r="K186" i="1"/>
  <c r="Q186" i="1" s="1"/>
  <c r="P152" i="1"/>
  <c r="P153" i="1"/>
  <c r="K152" i="1"/>
  <c r="Q152" i="1" s="1"/>
  <c r="K153" i="1"/>
  <c r="Q153" i="1" s="1"/>
  <c r="K122" i="1"/>
  <c r="O122" i="1" s="1"/>
  <c r="K123" i="1"/>
  <c r="O123" i="1" s="1"/>
  <c r="R123" i="1" s="1"/>
  <c r="P122" i="1"/>
  <c r="P123" i="1"/>
  <c r="P121" i="1"/>
  <c r="P108" i="1"/>
  <c r="P110" i="1"/>
  <c r="K107" i="1"/>
  <c r="O107" i="1" s="1"/>
  <c r="K108" i="1"/>
  <c r="O108" i="1" s="1"/>
  <c r="K110" i="1"/>
  <c r="O110" i="1" s="1"/>
  <c r="R110" i="1" s="1"/>
  <c r="P74" i="1"/>
  <c r="K71" i="1"/>
  <c r="K72" i="1"/>
  <c r="K74" i="1"/>
  <c r="P78" i="1"/>
  <c r="P79" i="1"/>
  <c r="P77" i="1"/>
  <c r="P76" i="1"/>
  <c r="K77" i="1"/>
  <c r="O77" i="1" s="1"/>
  <c r="O255" i="1" l="1"/>
  <c r="R255" i="1" s="1"/>
  <c r="O327" i="1"/>
  <c r="R327" i="1" s="1"/>
  <c r="O254" i="1"/>
  <c r="R254" i="1" s="1"/>
  <c r="Q221" i="1"/>
  <c r="O153" i="1"/>
  <c r="R153" i="1" s="1"/>
  <c r="Q123" i="1"/>
  <c r="O186" i="1"/>
  <c r="R186" i="1" s="1"/>
  <c r="Q110" i="1"/>
  <c r="O152" i="1"/>
  <c r="R152" i="1" s="1"/>
  <c r="K121" i="1"/>
  <c r="O121" i="1" l="1"/>
  <c r="F334" i="1" l="1"/>
  <c r="Q334" i="1" s="1"/>
  <c r="G169" i="1" l="1"/>
  <c r="P23" i="1"/>
  <c r="F23" i="1"/>
  <c r="I23" i="1" s="1"/>
  <c r="R23" i="1" s="1"/>
  <c r="Q23" i="1" l="1"/>
  <c r="I333" i="1" l="1"/>
  <c r="I334" i="1"/>
  <c r="R334" i="1" s="1"/>
  <c r="K65" i="1" l="1"/>
  <c r="F74" i="1"/>
  <c r="I74" i="1" s="1"/>
  <c r="F66" i="1"/>
  <c r="F67" i="1"/>
  <c r="F69" i="1"/>
  <c r="I66" i="1" l="1"/>
  <c r="R66" i="1" s="1"/>
  <c r="Q66" i="1"/>
  <c r="I67" i="1"/>
  <c r="R67" i="1" s="1"/>
  <c r="Q67" i="1"/>
  <c r="I69" i="1"/>
  <c r="R69" i="1" s="1"/>
  <c r="Q69" i="1"/>
  <c r="K155" i="1"/>
  <c r="O155" i="1" s="1"/>
  <c r="G135" i="1" l="1"/>
  <c r="O130" i="1"/>
  <c r="R130" i="1" s="1"/>
  <c r="P130" i="1"/>
  <c r="P75" i="1"/>
  <c r="O72" i="1"/>
  <c r="O74" i="1"/>
  <c r="R74" i="1" s="1"/>
  <c r="P129" i="1"/>
  <c r="O129" i="1"/>
  <c r="R129" i="1" s="1"/>
  <c r="P72" i="1"/>
  <c r="O75" i="1"/>
  <c r="R75" i="1" s="1"/>
  <c r="F142" i="1" l="1"/>
  <c r="E135" i="1" l="1"/>
  <c r="P135" i="1" s="1"/>
  <c r="J273" i="1" l="1"/>
  <c r="N16" i="1"/>
  <c r="K26" i="1"/>
  <c r="K12" i="1"/>
  <c r="O12" i="1" s="1"/>
  <c r="J61" i="1"/>
  <c r="L16" i="1"/>
  <c r="M16" i="1"/>
  <c r="K25" i="1"/>
  <c r="K24" i="1" l="1"/>
  <c r="P111" i="1"/>
  <c r="G51" i="1"/>
  <c r="P88" i="1" l="1"/>
  <c r="F88" i="1"/>
  <c r="I88" i="1" l="1"/>
  <c r="R88" i="1" s="1"/>
  <c r="Q88" i="1"/>
  <c r="F323" i="1" l="1"/>
  <c r="F319" i="1"/>
  <c r="F318" i="1"/>
  <c r="I318" i="1" s="1"/>
  <c r="F317" i="1"/>
  <c r="I317" i="1" s="1"/>
  <c r="F316" i="1"/>
  <c r="I316" i="1" s="1"/>
  <c r="F315" i="1"/>
  <c r="I315" i="1" s="1"/>
  <c r="F314" i="1"/>
  <c r="I314" i="1" s="1"/>
  <c r="F313" i="1"/>
  <c r="I307" i="1"/>
  <c r="F305" i="1"/>
  <c r="F303" i="1"/>
  <c r="I303" i="1" s="1"/>
  <c r="F302" i="1"/>
  <c r="F301" i="1"/>
  <c r="I301" i="1" s="1"/>
  <c r="F297" i="1"/>
  <c r="F288" i="1"/>
  <c r="I288" i="1" s="1"/>
  <c r="F287" i="1"/>
  <c r="F286" i="1"/>
  <c r="I286" i="1" s="1"/>
  <c r="F285" i="1"/>
  <c r="I285" i="1" s="1"/>
  <c r="F284" i="1"/>
  <c r="I284" i="1" s="1"/>
  <c r="F283" i="1"/>
  <c r="I283" i="1" s="1"/>
  <c r="F282" i="1"/>
  <c r="I281" i="1"/>
  <c r="F279" i="1"/>
  <c r="I279" i="1" s="1"/>
  <c r="H278" i="1"/>
  <c r="F278" i="1"/>
  <c r="I278" i="1" s="1"/>
  <c r="F277" i="1"/>
  <c r="I277" i="1" s="1"/>
  <c r="F276" i="1"/>
  <c r="I276" i="1" s="1"/>
  <c r="F275" i="1"/>
  <c r="I275" i="1" s="1"/>
  <c r="F274" i="1"/>
  <c r="I274" i="1" s="1"/>
  <c r="F273" i="1"/>
  <c r="P184" i="1"/>
  <c r="P185" i="1"/>
  <c r="F196" i="1"/>
  <c r="I196" i="1" s="1"/>
  <c r="F195" i="1"/>
  <c r="I195" i="1" s="1"/>
  <c r="F194" i="1"/>
  <c r="I194" i="1" s="1"/>
  <c r="F193" i="1"/>
  <c r="I193" i="1" s="1"/>
  <c r="F192" i="1"/>
  <c r="I192" i="1" s="1"/>
  <c r="F191" i="1"/>
  <c r="I191" i="1" s="1"/>
  <c r="F190" i="1"/>
  <c r="F185" i="1"/>
  <c r="Q185" i="1" s="1"/>
  <c r="F184" i="1"/>
  <c r="Q184" i="1" s="1"/>
  <c r="F183" i="1"/>
  <c r="E174" i="1"/>
  <c r="F182" i="1"/>
  <c r="I182" i="1" s="1"/>
  <c r="F181" i="1"/>
  <c r="I181" i="1" s="1"/>
  <c r="F180" i="1"/>
  <c r="I180" i="1" s="1"/>
  <c r="F177" i="1"/>
  <c r="I177" i="1" s="1"/>
  <c r="F176" i="1"/>
  <c r="I176" i="1" s="1"/>
  <c r="H174" i="1"/>
  <c r="F60" i="1"/>
  <c r="I60" i="1" s="1"/>
  <c r="F58" i="1"/>
  <c r="I58" i="1" s="1"/>
  <c r="F56" i="1"/>
  <c r="I56" i="1" s="1"/>
  <c r="F55" i="1"/>
  <c r="I55" i="1" s="1"/>
  <c r="F53" i="1"/>
  <c r="I53" i="1" s="1"/>
  <c r="I51" i="1" s="1"/>
  <c r="H51" i="1"/>
  <c r="F50" i="1"/>
  <c r="I50" i="1" s="1"/>
  <c r="F49" i="1"/>
  <c r="I49" i="1" s="1"/>
  <c r="I48" i="1"/>
  <c r="F47" i="1"/>
  <c r="F46" i="1"/>
  <c r="H44" i="1"/>
  <c r="F43" i="1"/>
  <c r="F42" i="1"/>
  <c r="I42" i="1" s="1"/>
  <c r="H40" i="1"/>
  <c r="G40" i="1"/>
  <c r="F39" i="1"/>
  <c r="F38" i="1"/>
  <c r="I38" i="1" s="1"/>
  <c r="F37" i="1"/>
  <c r="F36" i="1"/>
  <c r="I36" i="1" s="1"/>
  <c r="F35" i="1"/>
  <c r="I35" i="1" s="1"/>
  <c r="F34" i="1"/>
  <c r="I34" i="1" s="1"/>
  <c r="F33" i="1"/>
  <c r="I33" i="1" s="1"/>
  <c r="F31" i="1"/>
  <c r="I31" i="1" s="1"/>
  <c r="F30" i="1"/>
  <c r="I30" i="1" s="1"/>
  <c r="F29" i="1"/>
  <c r="I29" i="1" s="1"/>
  <c r="F28" i="1"/>
  <c r="I28" i="1" s="1"/>
  <c r="F26" i="1"/>
  <c r="I26" i="1" s="1"/>
  <c r="F25" i="1"/>
  <c r="I25" i="1" s="1"/>
  <c r="F24" i="1"/>
  <c r="I24" i="1" s="1"/>
  <c r="F22" i="1"/>
  <c r="F21" i="1"/>
  <c r="I21" i="1" s="1"/>
  <c r="F20" i="1"/>
  <c r="I20" i="1" s="1"/>
  <c r="F19" i="1"/>
  <c r="F18" i="1"/>
  <c r="I18" i="1" s="1"/>
  <c r="F13" i="1"/>
  <c r="I13" i="1" s="1"/>
  <c r="F12" i="1"/>
  <c r="F311" i="1" l="1"/>
  <c r="I297" i="1"/>
  <c r="I287" i="1"/>
  <c r="F271" i="1"/>
  <c r="H10" i="1"/>
  <c r="I12" i="1"/>
  <c r="I319" i="1"/>
  <c r="Q319" i="1"/>
  <c r="I323" i="1"/>
  <c r="R323" i="1" s="1"/>
  <c r="Q323" i="1"/>
  <c r="I19" i="1"/>
  <c r="I313" i="1"/>
  <c r="I43" i="1"/>
  <c r="I40" i="1" s="1"/>
  <c r="F304" i="1"/>
  <c r="I306" i="1"/>
  <c r="H271" i="1"/>
  <c r="G57" i="1"/>
  <c r="F57" i="1" s="1"/>
  <c r="I57" i="1" s="1"/>
  <c r="F40" i="1"/>
  <c r="I184" i="1"/>
  <c r="R184" i="1" s="1"/>
  <c r="G271" i="1"/>
  <c r="I273" i="1"/>
  <c r="I39" i="1"/>
  <c r="F174" i="1"/>
  <c r="I185" i="1"/>
  <c r="R185" i="1" s="1"/>
  <c r="I302" i="1"/>
  <c r="F59" i="1"/>
  <c r="I59" i="1" s="1"/>
  <c r="I190" i="1"/>
  <c r="E271" i="1"/>
  <c r="G174" i="1"/>
  <c r="I305" i="1"/>
  <c r="I282" i="1"/>
  <c r="I280" i="1" s="1"/>
  <c r="I183" i="1"/>
  <c r="I46" i="1"/>
  <c r="F44" i="1"/>
  <c r="I44" i="1" s="1"/>
  <c r="F51" i="1"/>
  <c r="I22" i="1"/>
  <c r="I47" i="1"/>
  <c r="I37" i="1"/>
  <c r="I32" i="1" s="1"/>
  <c r="G54" i="1"/>
  <c r="F54" i="1" s="1"/>
  <c r="I54" i="1" s="1"/>
  <c r="I16" i="1" l="1"/>
  <c r="I10" i="1" s="1"/>
  <c r="I311" i="1"/>
  <c r="I304" i="1"/>
  <c r="I299" i="1" s="1"/>
  <c r="I295" i="1" s="1"/>
  <c r="F299" i="1"/>
  <c r="F295" i="1" s="1"/>
  <c r="F10" i="1"/>
  <c r="G10" i="1"/>
  <c r="I271" i="1"/>
  <c r="I174" i="1"/>
  <c r="P325" i="1"/>
  <c r="P326" i="1"/>
  <c r="K318" i="1"/>
  <c r="O318" i="1" s="1"/>
  <c r="R319" i="1"/>
  <c r="Q326" i="1"/>
  <c r="R325" i="1"/>
  <c r="O326" i="1" l="1"/>
  <c r="R326" i="1" s="1"/>
  <c r="Q325" i="1"/>
  <c r="K269" i="1" l="1"/>
  <c r="O269" i="1" s="1"/>
  <c r="K267" i="1"/>
  <c r="K266" i="1"/>
  <c r="O266" i="1" s="1"/>
  <c r="K265" i="1"/>
  <c r="O265" i="1" s="1"/>
  <c r="K264" i="1"/>
  <c r="K243" i="1"/>
  <c r="O243" i="1" s="1"/>
  <c r="K242" i="1"/>
  <c r="O242" i="1" s="1"/>
  <c r="K241" i="1"/>
  <c r="O241" i="1" s="1"/>
  <c r="K240" i="1"/>
  <c r="O240" i="1" s="1"/>
  <c r="K239" i="1"/>
  <c r="K238" i="1"/>
  <c r="K237" i="1"/>
  <c r="K226" i="1"/>
  <c r="O226" i="1" s="1"/>
  <c r="K225" i="1"/>
  <c r="O225" i="1" s="1"/>
  <c r="K215" i="1"/>
  <c r="O215" i="1" s="1"/>
  <c r="K199" i="1"/>
  <c r="O199" i="1" s="1"/>
  <c r="K196" i="1"/>
  <c r="O196" i="1" s="1"/>
  <c r="K191" i="1"/>
  <c r="O191" i="1" s="1"/>
  <c r="K190" i="1"/>
  <c r="O190" i="1" s="1"/>
  <c r="K183" i="1"/>
  <c r="K137" i="1"/>
  <c r="L169" i="1"/>
  <c r="K128" i="1"/>
  <c r="O128" i="1" s="1"/>
  <c r="K120" i="1"/>
  <c r="O120" i="1" s="1"/>
  <c r="K115" i="1"/>
  <c r="O115" i="1" s="1"/>
  <c r="K112" i="1"/>
  <c r="K111" i="1"/>
  <c r="O111" i="1" s="1"/>
  <c r="K100" i="1"/>
  <c r="O100" i="1" s="1"/>
  <c r="K98" i="1"/>
  <c r="O98" i="1" s="1"/>
  <c r="K93" i="1"/>
  <c r="O93" i="1" s="1"/>
  <c r="K84" i="1"/>
  <c r="O84" i="1" s="1"/>
  <c r="K82" i="1"/>
  <c r="O82" i="1" s="1"/>
  <c r="K64" i="1"/>
  <c r="O64" i="1" s="1"/>
  <c r="L91" i="1"/>
  <c r="K13" i="1"/>
  <c r="K18" i="1"/>
  <c r="K19" i="1"/>
  <c r="O19" i="1" s="1"/>
  <c r="K20" i="1"/>
  <c r="O20" i="1" s="1"/>
  <c r="K21" i="1"/>
  <c r="O21" i="1" s="1"/>
  <c r="K22" i="1"/>
  <c r="O22" i="1" s="1"/>
  <c r="O25" i="1"/>
  <c r="O26" i="1"/>
  <c r="K28" i="1"/>
  <c r="O28" i="1" s="1"/>
  <c r="K29" i="1"/>
  <c r="O29" i="1" s="1"/>
  <c r="K30" i="1"/>
  <c r="O30" i="1" s="1"/>
  <c r="K31" i="1"/>
  <c r="O31" i="1" s="1"/>
  <c r="M32" i="1"/>
  <c r="M10" i="1" s="1"/>
  <c r="K33" i="1"/>
  <c r="O33" i="1" s="1"/>
  <c r="L32" i="1"/>
  <c r="L10" i="1" s="1"/>
  <c r="K34" i="1"/>
  <c r="O34" i="1" s="1"/>
  <c r="O35" i="1"/>
  <c r="K36" i="1"/>
  <c r="O36" i="1" s="1"/>
  <c r="K37" i="1"/>
  <c r="O37" i="1" s="1"/>
  <c r="K38" i="1"/>
  <c r="O38" i="1" s="1"/>
  <c r="K39" i="1"/>
  <c r="O39" i="1" s="1"/>
  <c r="K40" i="1"/>
  <c r="O40" i="1" s="1"/>
  <c r="K41" i="1"/>
  <c r="O41" i="1" s="1"/>
  <c r="K42" i="1"/>
  <c r="O42" i="1" s="1"/>
  <c r="K43" i="1"/>
  <c r="O43" i="1" s="1"/>
  <c r="O44" i="1"/>
  <c r="K45" i="1"/>
  <c r="O45" i="1" s="1"/>
  <c r="K46" i="1"/>
  <c r="O46" i="1" s="1"/>
  <c r="K47" i="1"/>
  <c r="O47" i="1" s="1"/>
  <c r="K51" i="1"/>
  <c r="O51" i="1" s="1"/>
  <c r="K52" i="1"/>
  <c r="O52" i="1" s="1"/>
  <c r="K53" i="1"/>
  <c r="O53" i="1" s="1"/>
  <c r="K54" i="1"/>
  <c r="O54" i="1" s="1"/>
  <c r="K55" i="1"/>
  <c r="O55" i="1" s="1"/>
  <c r="K56" i="1"/>
  <c r="O56" i="1" s="1"/>
  <c r="K57" i="1"/>
  <c r="O57" i="1" s="1"/>
  <c r="K63" i="1"/>
  <c r="O65" i="1"/>
  <c r="K70" i="1"/>
  <c r="O71" i="1"/>
  <c r="K76" i="1"/>
  <c r="O76" i="1" s="1"/>
  <c r="K83" i="1"/>
  <c r="O83" i="1" s="1"/>
  <c r="K85" i="1"/>
  <c r="O85" i="1" s="1"/>
  <c r="O86" i="1"/>
  <c r="K89" i="1"/>
  <c r="O89" i="1" s="1"/>
  <c r="K90" i="1"/>
  <c r="O90" i="1" s="1"/>
  <c r="M91" i="1"/>
  <c r="M61" i="1" s="1"/>
  <c r="K92" i="1"/>
  <c r="O92" i="1" s="1"/>
  <c r="K94" i="1"/>
  <c r="O94" i="1" s="1"/>
  <c r="K95" i="1"/>
  <c r="O95" i="1" s="1"/>
  <c r="K96" i="1"/>
  <c r="O96" i="1" s="1"/>
  <c r="K97" i="1"/>
  <c r="O97" i="1" s="1"/>
  <c r="K99" i="1"/>
  <c r="O99" i="1" s="1"/>
  <c r="K101" i="1"/>
  <c r="O101" i="1" s="1"/>
  <c r="O102" i="1"/>
  <c r="K105" i="1"/>
  <c r="O105" i="1" s="1"/>
  <c r="K113" i="1"/>
  <c r="O113" i="1" s="1"/>
  <c r="K114" i="1"/>
  <c r="O114" i="1" s="1"/>
  <c r="K116" i="1"/>
  <c r="O116" i="1" s="1"/>
  <c r="K117" i="1"/>
  <c r="O117" i="1" s="1"/>
  <c r="K118" i="1"/>
  <c r="O118" i="1" s="1"/>
  <c r="K119" i="1"/>
  <c r="O119" i="1" s="1"/>
  <c r="K124" i="1"/>
  <c r="O124" i="1" s="1"/>
  <c r="K125" i="1"/>
  <c r="O125" i="1" s="1"/>
  <c r="K126" i="1"/>
  <c r="O126" i="1" s="1"/>
  <c r="K127" i="1"/>
  <c r="O127" i="1" s="1"/>
  <c r="K134" i="1"/>
  <c r="O134" i="1" s="1"/>
  <c r="K138" i="1"/>
  <c r="O138" i="1" s="1"/>
  <c r="K139" i="1"/>
  <c r="O139" i="1" s="1"/>
  <c r="K140" i="1"/>
  <c r="O140" i="1" s="1"/>
  <c r="K141" i="1"/>
  <c r="O141" i="1" s="1"/>
  <c r="K142" i="1"/>
  <c r="O142" i="1" s="1"/>
  <c r="K143" i="1"/>
  <c r="O143" i="1" s="1"/>
  <c r="K144" i="1"/>
  <c r="O144" i="1" s="1"/>
  <c r="K145" i="1"/>
  <c r="O145" i="1" s="1"/>
  <c r="K146" i="1"/>
  <c r="O146" i="1" s="1"/>
  <c r="K147" i="1"/>
  <c r="O147" i="1" s="1"/>
  <c r="K149" i="1"/>
  <c r="O149" i="1" s="1"/>
  <c r="K150" i="1"/>
  <c r="O150" i="1" s="1"/>
  <c r="K151" i="1"/>
  <c r="O151" i="1" s="1"/>
  <c r="K156" i="1"/>
  <c r="O156" i="1" s="1"/>
  <c r="K157" i="1"/>
  <c r="O157" i="1" s="1"/>
  <c r="K158" i="1"/>
  <c r="O158" i="1" s="1"/>
  <c r="K159" i="1"/>
  <c r="O159" i="1" s="1"/>
  <c r="K160" i="1"/>
  <c r="K161" i="1"/>
  <c r="O161" i="1" s="1"/>
  <c r="K162" i="1"/>
  <c r="O162" i="1" s="1"/>
  <c r="K163" i="1"/>
  <c r="O163" i="1" s="1"/>
  <c r="K164" i="1"/>
  <c r="O164" i="1" s="1"/>
  <c r="K165" i="1"/>
  <c r="O165" i="1" s="1"/>
  <c r="K166" i="1"/>
  <c r="O166" i="1" s="1"/>
  <c r="K168" i="1"/>
  <c r="O168" i="1" s="1"/>
  <c r="J169" i="1"/>
  <c r="M169" i="1"/>
  <c r="K171" i="1"/>
  <c r="O171" i="1" s="1"/>
  <c r="K172" i="1"/>
  <c r="O172" i="1" s="1"/>
  <c r="K173" i="1"/>
  <c r="O173" i="1" s="1"/>
  <c r="J174" i="1"/>
  <c r="K176" i="1"/>
  <c r="O176" i="1" s="1"/>
  <c r="K181" i="1"/>
  <c r="O181" i="1" s="1"/>
  <c r="K182" i="1"/>
  <c r="O182" i="1" s="1"/>
  <c r="K192" i="1"/>
  <c r="O192" i="1" s="1"/>
  <c r="K193" i="1"/>
  <c r="O193" i="1" s="1"/>
  <c r="K194" i="1"/>
  <c r="O194" i="1" s="1"/>
  <c r="K195" i="1"/>
  <c r="O195" i="1" s="1"/>
  <c r="J197" i="1"/>
  <c r="M197" i="1"/>
  <c r="K200" i="1"/>
  <c r="O200" i="1" s="1"/>
  <c r="K202" i="1"/>
  <c r="O202" i="1" s="1"/>
  <c r="K203" i="1"/>
  <c r="O203" i="1" s="1"/>
  <c r="K204" i="1"/>
  <c r="O204" i="1" s="1"/>
  <c r="K205" i="1"/>
  <c r="O205" i="1" s="1"/>
  <c r="K207" i="1"/>
  <c r="O207" i="1" s="1"/>
  <c r="K208" i="1"/>
  <c r="O208" i="1" s="1"/>
  <c r="K213" i="1"/>
  <c r="K214" i="1"/>
  <c r="O214" i="1" s="1"/>
  <c r="K216" i="1"/>
  <c r="O216" i="1" s="1"/>
  <c r="K217" i="1"/>
  <c r="O217" i="1" s="1"/>
  <c r="K218" i="1"/>
  <c r="O218" i="1" s="1"/>
  <c r="K219" i="1"/>
  <c r="O219" i="1" s="1"/>
  <c r="K227" i="1"/>
  <c r="O227" i="1" s="1"/>
  <c r="K229" i="1"/>
  <c r="K231" i="1"/>
  <c r="O231" i="1" s="1"/>
  <c r="K232" i="1"/>
  <c r="O232" i="1" s="1"/>
  <c r="K233" i="1"/>
  <c r="O233" i="1" s="1"/>
  <c r="K244" i="1"/>
  <c r="O244" i="1" s="1"/>
  <c r="K245" i="1"/>
  <c r="K246" i="1"/>
  <c r="O246" i="1" s="1"/>
  <c r="J247" i="1"/>
  <c r="P247" i="1" s="1"/>
  <c r="M247" i="1"/>
  <c r="K248" i="1"/>
  <c r="O248" i="1" s="1"/>
  <c r="K249" i="1"/>
  <c r="O250" i="1"/>
  <c r="K257" i="1"/>
  <c r="O257" i="1" s="1"/>
  <c r="K256" i="1"/>
  <c r="O256" i="1" s="1"/>
  <c r="K258" i="1"/>
  <c r="O258" i="1" s="1"/>
  <c r="K259" i="1"/>
  <c r="O259" i="1" s="1"/>
  <c r="K262" i="1"/>
  <c r="O262" i="1" s="1"/>
  <c r="K268" i="1"/>
  <c r="O268" i="1" s="1"/>
  <c r="K273" i="1"/>
  <c r="K274" i="1"/>
  <c r="O274" i="1" s="1"/>
  <c r="K275" i="1"/>
  <c r="O275" i="1" s="1"/>
  <c r="K276" i="1"/>
  <c r="O276" i="1" s="1"/>
  <c r="K277" i="1"/>
  <c r="O277" i="1" s="1"/>
  <c r="K278" i="1"/>
  <c r="O278" i="1" s="1"/>
  <c r="K279" i="1"/>
  <c r="O279" i="1" s="1"/>
  <c r="J271" i="1"/>
  <c r="M271" i="1"/>
  <c r="K281" i="1"/>
  <c r="O281" i="1" s="1"/>
  <c r="K282" i="1"/>
  <c r="O282" i="1" s="1"/>
  <c r="K283" i="1"/>
  <c r="O283" i="1" s="1"/>
  <c r="K284" i="1"/>
  <c r="O284" i="1" s="1"/>
  <c r="K285" i="1"/>
  <c r="O285" i="1" s="1"/>
  <c r="K286" i="1"/>
  <c r="O286" i="1" s="1"/>
  <c r="K287" i="1"/>
  <c r="O287" i="1" s="1"/>
  <c r="J289" i="1"/>
  <c r="L289" i="1"/>
  <c r="M289" i="1"/>
  <c r="N289" i="1"/>
  <c r="K290" i="1"/>
  <c r="O290" i="1" s="1"/>
  <c r="K291" i="1"/>
  <c r="K292" i="1"/>
  <c r="O292" i="1" s="1"/>
  <c r="K293" i="1"/>
  <c r="O293" i="1" s="1"/>
  <c r="K294" i="1"/>
  <c r="O294" i="1" s="1"/>
  <c r="K297" i="1"/>
  <c r="K298" i="1"/>
  <c r="O298" i="1" s="1"/>
  <c r="K299" i="1"/>
  <c r="O299" i="1" s="1"/>
  <c r="K300" i="1"/>
  <c r="O300" i="1" s="1"/>
  <c r="K301" i="1"/>
  <c r="O301" i="1" s="1"/>
  <c r="K302" i="1"/>
  <c r="O302" i="1" s="1"/>
  <c r="K303" i="1"/>
  <c r="O303" i="1" s="1"/>
  <c r="K304" i="1"/>
  <c r="O304" i="1" s="1"/>
  <c r="K305" i="1"/>
  <c r="O305" i="1" s="1"/>
  <c r="K306" i="1"/>
  <c r="O306" i="1" s="1"/>
  <c r="K307" i="1"/>
  <c r="O307" i="1" s="1"/>
  <c r="K313" i="1"/>
  <c r="O313" i="1" s="1"/>
  <c r="K314" i="1"/>
  <c r="O314" i="1" s="1"/>
  <c r="K315" i="1"/>
  <c r="O315" i="1" s="1"/>
  <c r="K316" i="1"/>
  <c r="K317" i="1"/>
  <c r="O328" i="1"/>
  <c r="O32" i="1" l="1"/>
  <c r="O183" i="1"/>
  <c r="Q183" i="1"/>
  <c r="O13" i="1"/>
  <c r="O63" i="1"/>
  <c r="O297" i="1"/>
  <c r="O317" i="1"/>
  <c r="K311" i="1"/>
  <c r="Q311" i="1" s="1"/>
  <c r="O264" i="1"/>
  <c r="O213" i="1"/>
  <c r="K211" i="1"/>
  <c r="O160" i="1"/>
  <c r="K154" i="1"/>
  <c r="O154" i="1" s="1"/>
  <c r="K247" i="1"/>
  <c r="O18" i="1"/>
  <c r="K16" i="1"/>
  <c r="O237" i="1"/>
  <c r="O267" i="1"/>
  <c r="L197" i="1"/>
  <c r="N247" i="1"/>
  <c r="O245" i="1"/>
  <c r="O238" i="1"/>
  <c r="O70" i="1"/>
  <c r="L174" i="1"/>
  <c r="O91" i="1"/>
  <c r="K289" i="1"/>
  <c r="O229" i="1"/>
  <c r="L247" i="1"/>
  <c r="J335" i="1"/>
  <c r="N32" i="1"/>
  <c r="N10" i="1" s="1"/>
  <c r="O291" i="1"/>
  <c r="O289" i="1" s="1"/>
  <c r="K206" i="1"/>
  <c r="O206" i="1" s="1"/>
  <c r="O197" i="1" s="1"/>
  <c r="O169" i="1"/>
  <c r="O112" i="1"/>
  <c r="O239" i="1"/>
  <c r="O224" i="1"/>
  <c r="O316" i="1"/>
  <c r="K263" i="1"/>
  <c r="O263" i="1" s="1"/>
  <c r="K177" i="1"/>
  <c r="O177" i="1" s="1"/>
  <c r="K169" i="1"/>
  <c r="O24" i="1"/>
  <c r="L271" i="1"/>
  <c r="O249" i="1"/>
  <c r="O247" i="1" s="1"/>
  <c r="O137" i="1"/>
  <c r="N61" i="1"/>
  <c r="O273" i="1"/>
  <c r="K106" i="1"/>
  <c r="K103" i="1" s="1"/>
  <c r="K280" i="1"/>
  <c r="N271" i="1"/>
  <c r="K234" i="1"/>
  <c r="O234" i="1" s="1"/>
  <c r="K91" i="1"/>
  <c r="K61" i="1" s="1"/>
  <c r="L61" i="1"/>
  <c r="K32" i="1"/>
  <c r="O135" i="1" l="1"/>
  <c r="O230" i="1"/>
  <c r="K230" i="1"/>
  <c r="K10" i="1"/>
  <c r="Q10" i="1" s="1"/>
  <c r="K135" i="1"/>
  <c r="O174" i="1"/>
  <c r="R174" i="1" s="1"/>
  <c r="O61" i="1"/>
  <c r="K295" i="1"/>
  <c r="K260" i="1"/>
  <c r="O260" i="1"/>
  <c r="O211" i="1"/>
  <c r="K271" i="1"/>
  <c r="O280" i="1"/>
  <c r="O271" i="1" s="1"/>
  <c r="O16" i="1"/>
  <c r="O10" i="1" s="1"/>
  <c r="R10" i="1" s="1"/>
  <c r="K197" i="1"/>
  <c r="K174" i="1"/>
  <c r="O106" i="1"/>
  <c r="O103" i="1" s="1"/>
  <c r="R14" i="1" l="1"/>
  <c r="P14" i="1"/>
  <c r="P15" i="1"/>
  <c r="P13" i="1"/>
  <c r="F201" i="1" l="1"/>
  <c r="I201" i="1" s="1"/>
  <c r="F149" i="1" l="1"/>
  <c r="F148" i="1"/>
  <c r="I148" i="1" s="1"/>
  <c r="P329" i="1" l="1"/>
  <c r="O329" i="1" l="1"/>
  <c r="Q329" i="1"/>
  <c r="R329" i="1" l="1"/>
  <c r="Q328" i="1"/>
  <c r="P328" i="1"/>
  <c r="P225" i="1"/>
  <c r="Q225" i="1"/>
  <c r="R328" i="1" l="1"/>
  <c r="R225" i="1"/>
  <c r="G197" i="1" l="1"/>
  <c r="F85" i="1" l="1"/>
  <c r="F83" i="1"/>
  <c r="F84" i="1"/>
  <c r="F86" i="1"/>
  <c r="Q86" i="1" s="1"/>
  <c r="Q180" i="1" l="1"/>
  <c r="P180" i="1"/>
  <c r="R180" i="1" l="1"/>
  <c r="H169" i="1" l="1"/>
  <c r="E169" i="1"/>
  <c r="P172" i="1"/>
  <c r="F172" i="1"/>
  <c r="I172" i="1" l="1"/>
  <c r="Q172" i="1"/>
  <c r="R172" i="1" l="1"/>
  <c r="Q60" i="1" l="1"/>
  <c r="Q48" i="1" l="1"/>
  <c r="R50" i="1"/>
  <c r="Q50" i="1" l="1"/>
  <c r="E197" i="1" l="1"/>
  <c r="F72" i="1" l="1"/>
  <c r="I72" i="1" s="1"/>
  <c r="R72" i="1" s="1"/>
  <c r="F111" i="1" l="1"/>
  <c r="I111" i="1" s="1"/>
  <c r="Q111" i="1" l="1"/>
  <c r="R111" i="1"/>
  <c r="S226" i="1" l="1"/>
  <c r="F121" i="1" l="1"/>
  <c r="F122" i="1"/>
  <c r="I122" i="1" l="1"/>
  <c r="R122" i="1" s="1"/>
  <c r="Q122" i="1"/>
  <c r="I121" i="1"/>
  <c r="R121" i="1" s="1"/>
  <c r="Q121" i="1"/>
  <c r="P246" i="1"/>
  <c r="R243" i="1"/>
  <c r="P120" i="1"/>
  <c r="P243" i="1"/>
  <c r="P333" i="1"/>
  <c r="P91" i="1"/>
  <c r="P30" i="1"/>
  <c r="P31" i="1"/>
  <c r="P33" i="1"/>
  <c r="Q246" i="1" l="1"/>
  <c r="Q243" i="1"/>
  <c r="O333" i="1" l="1"/>
  <c r="O311" i="1" s="1"/>
  <c r="Q333" i="1"/>
  <c r="R246" i="1"/>
  <c r="R333" i="1" l="1"/>
  <c r="F71" i="1"/>
  <c r="F76" i="1"/>
  <c r="F77" i="1"/>
  <c r="F78" i="1"/>
  <c r="F79" i="1"/>
  <c r="F80" i="1"/>
  <c r="Q80" i="1" s="1"/>
  <c r="F81" i="1"/>
  <c r="Q81" i="1" s="1"/>
  <c r="O295" i="1" l="1"/>
  <c r="R311" i="1"/>
  <c r="I81" i="1"/>
  <c r="R81" i="1" s="1"/>
  <c r="I77" i="1"/>
  <c r="R77" i="1" s="1"/>
  <c r="Q77" i="1"/>
  <c r="I80" i="1"/>
  <c r="R80" i="1" s="1"/>
  <c r="I79" i="1"/>
  <c r="R79" i="1" s="1"/>
  <c r="Q79" i="1"/>
  <c r="I78" i="1"/>
  <c r="R78" i="1" s="1"/>
  <c r="Q78" i="1"/>
  <c r="P60" i="1"/>
  <c r="P58" i="1"/>
  <c r="P59" i="1"/>
  <c r="P288" i="1"/>
  <c r="Q288" i="1"/>
  <c r="P280" i="1"/>
  <c r="P57" i="1"/>
  <c r="R60" i="1"/>
  <c r="R48" i="1"/>
  <c r="R58" i="1" l="1"/>
  <c r="Q58" i="1"/>
  <c r="R59" i="1"/>
  <c r="Q59" i="1"/>
  <c r="R49" i="1"/>
  <c r="Q49" i="1"/>
  <c r="R288" i="1"/>
  <c r="H61" i="1"/>
  <c r="E103" i="1"/>
  <c r="H103" i="1"/>
  <c r="H197" i="1"/>
  <c r="G211" i="1"/>
  <c r="H211" i="1"/>
  <c r="E230" i="1"/>
  <c r="P230" i="1" s="1"/>
  <c r="G230" i="1"/>
  <c r="H230" i="1"/>
  <c r="E260" i="1"/>
  <c r="P260" i="1" s="1"/>
  <c r="G260" i="1"/>
  <c r="H260" i="1"/>
  <c r="P271" i="1"/>
  <c r="E289" i="1"/>
  <c r="G289" i="1"/>
  <c r="H289" i="1"/>
  <c r="P245" i="1" l="1"/>
  <c r="F245" i="1"/>
  <c r="Q102" i="1"/>
  <c r="R102" i="1"/>
  <c r="P174" i="1"/>
  <c r="Q228" i="1"/>
  <c r="E211" i="1"/>
  <c r="F233" i="1"/>
  <c r="I233" i="1" s="1"/>
  <c r="P233" i="1"/>
  <c r="E335" i="1" l="1"/>
  <c r="P211" i="1"/>
  <c r="P61" i="1"/>
  <c r="Q245" i="1"/>
  <c r="R233" i="1"/>
  <c r="I228" i="1"/>
  <c r="R228" i="1" s="1"/>
  <c r="P228" i="1"/>
  <c r="P102" i="1"/>
  <c r="I245" i="1"/>
  <c r="Q233" i="1"/>
  <c r="R245" i="1" l="1"/>
  <c r="R300" i="1"/>
  <c r="R298" i="1"/>
  <c r="Q290" i="1"/>
  <c r="R248" i="1"/>
  <c r="R231" i="1"/>
  <c r="Q52" i="1"/>
  <c r="R45" i="1"/>
  <c r="Q41" i="1"/>
  <c r="R13" i="1"/>
  <c r="P318" i="1"/>
  <c r="P317" i="1"/>
  <c r="P316" i="1"/>
  <c r="P315" i="1"/>
  <c r="P314" i="1"/>
  <c r="P313" i="1"/>
  <c r="R312" i="1"/>
  <c r="Q312" i="1"/>
  <c r="P312" i="1"/>
  <c r="P307" i="1"/>
  <c r="P306" i="1"/>
  <c r="P305" i="1"/>
  <c r="P304" i="1"/>
  <c r="P303" i="1"/>
  <c r="P302" i="1"/>
  <c r="P301" i="1"/>
  <c r="P300" i="1"/>
  <c r="P299" i="1"/>
  <c r="P298" i="1"/>
  <c r="P297" i="1"/>
  <c r="R296" i="1"/>
  <c r="Q296" i="1"/>
  <c r="P296" i="1"/>
  <c r="P294" i="1"/>
  <c r="P293" i="1"/>
  <c r="P292" i="1"/>
  <c r="P291" i="1"/>
  <c r="P290" i="1"/>
  <c r="P289" i="1"/>
  <c r="P287" i="1"/>
  <c r="P286" i="1"/>
  <c r="P285" i="1"/>
  <c r="P284" i="1"/>
  <c r="P283" i="1"/>
  <c r="P282" i="1"/>
  <c r="P281" i="1"/>
  <c r="P279" i="1"/>
  <c r="P278" i="1"/>
  <c r="P277" i="1"/>
  <c r="P276" i="1"/>
  <c r="P275" i="1"/>
  <c r="P274" i="1"/>
  <c r="P273" i="1"/>
  <c r="R272" i="1"/>
  <c r="Q272" i="1"/>
  <c r="P272" i="1"/>
  <c r="P269" i="1"/>
  <c r="P268" i="1"/>
  <c r="P267" i="1"/>
  <c r="P266" i="1"/>
  <c r="P265" i="1"/>
  <c r="P264" i="1"/>
  <c r="P263" i="1"/>
  <c r="P262" i="1"/>
  <c r="R261" i="1"/>
  <c r="Q261" i="1"/>
  <c r="P261" i="1"/>
  <c r="P259" i="1"/>
  <c r="P258" i="1"/>
  <c r="P256" i="1"/>
  <c r="P257" i="1"/>
  <c r="P252" i="1"/>
  <c r="P251" i="1"/>
  <c r="P250" i="1"/>
  <c r="P249" i="1"/>
  <c r="P248" i="1"/>
  <c r="P244" i="1"/>
  <c r="P242" i="1"/>
  <c r="P241" i="1"/>
  <c r="P240" i="1"/>
  <c r="P239" i="1"/>
  <c r="P238" i="1"/>
  <c r="P237" i="1"/>
  <c r="P234" i="1"/>
  <c r="P232" i="1"/>
  <c r="P231" i="1"/>
  <c r="P229" i="1"/>
  <c r="P227" i="1"/>
  <c r="P226" i="1"/>
  <c r="P224" i="1"/>
  <c r="P223" i="1"/>
  <c r="P220" i="1"/>
  <c r="P219" i="1"/>
  <c r="P218" i="1"/>
  <c r="P217" i="1"/>
  <c r="P216" i="1"/>
  <c r="P215" i="1"/>
  <c r="P214" i="1"/>
  <c r="P213" i="1"/>
  <c r="R212" i="1"/>
  <c r="Q212" i="1"/>
  <c r="P212" i="1"/>
  <c r="P208" i="1"/>
  <c r="P207" i="1"/>
  <c r="P206" i="1"/>
  <c r="P205" i="1"/>
  <c r="P204" i="1"/>
  <c r="P203" i="1"/>
  <c r="P202" i="1"/>
  <c r="P200" i="1"/>
  <c r="P199" i="1"/>
  <c r="R198" i="1"/>
  <c r="Q198" i="1"/>
  <c r="P198" i="1"/>
  <c r="P197" i="1"/>
  <c r="P196" i="1"/>
  <c r="P195" i="1"/>
  <c r="P194" i="1"/>
  <c r="P193" i="1"/>
  <c r="P192" i="1"/>
  <c r="P191" i="1"/>
  <c r="P190" i="1"/>
  <c r="P183" i="1"/>
  <c r="P182" i="1"/>
  <c r="P181" i="1"/>
  <c r="P177" i="1"/>
  <c r="P176" i="1"/>
  <c r="R175" i="1"/>
  <c r="Q175" i="1"/>
  <c r="P175" i="1"/>
  <c r="P173" i="1"/>
  <c r="P171" i="1"/>
  <c r="R170" i="1"/>
  <c r="Q170" i="1"/>
  <c r="P170" i="1"/>
  <c r="P168" i="1"/>
  <c r="P166" i="1"/>
  <c r="P165" i="1"/>
  <c r="P164" i="1"/>
  <c r="P163" i="1"/>
  <c r="P162" i="1"/>
  <c r="P161" i="1"/>
  <c r="P160" i="1"/>
  <c r="P157" i="1"/>
  <c r="P156" i="1"/>
  <c r="P155" i="1"/>
  <c r="P154" i="1"/>
  <c r="P151" i="1"/>
  <c r="P150" i="1"/>
  <c r="P149" i="1"/>
  <c r="P147" i="1"/>
  <c r="P146" i="1"/>
  <c r="P145" i="1"/>
  <c r="P144" i="1"/>
  <c r="P143" i="1"/>
  <c r="P142" i="1"/>
  <c r="P141" i="1"/>
  <c r="P140" i="1"/>
  <c r="P139" i="1"/>
  <c r="P138" i="1"/>
  <c r="P137" i="1"/>
  <c r="R136" i="1"/>
  <c r="Q136" i="1"/>
  <c r="P136" i="1"/>
  <c r="P134" i="1"/>
  <c r="P128" i="1"/>
  <c r="P127" i="1"/>
  <c r="P126" i="1"/>
  <c r="P125" i="1"/>
  <c r="P124" i="1"/>
  <c r="P119" i="1"/>
  <c r="P118" i="1"/>
  <c r="P117" i="1"/>
  <c r="P116" i="1"/>
  <c r="P115" i="1"/>
  <c r="P114" i="1"/>
  <c r="P113" i="1"/>
  <c r="P112" i="1"/>
  <c r="P107" i="1"/>
  <c r="P106" i="1"/>
  <c r="P105" i="1"/>
  <c r="R104" i="1"/>
  <c r="Q104" i="1"/>
  <c r="P104" i="1"/>
  <c r="P103" i="1"/>
  <c r="P101" i="1"/>
  <c r="P100" i="1"/>
  <c r="P99" i="1"/>
  <c r="P98" i="1"/>
  <c r="P97" i="1"/>
  <c r="P96" i="1"/>
  <c r="P95" i="1"/>
  <c r="P94" i="1"/>
  <c r="P93" i="1"/>
  <c r="P92" i="1"/>
  <c r="P90" i="1"/>
  <c r="P89" i="1"/>
  <c r="P86" i="1"/>
  <c r="P85" i="1"/>
  <c r="P84" i="1"/>
  <c r="P83" i="1"/>
  <c r="P82" i="1"/>
  <c r="P71" i="1"/>
  <c r="P70" i="1"/>
  <c r="P65" i="1"/>
  <c r="P64" i="1"/>
  <c r="P63" i="1"/>
  <c r="Q62" i="1"/>
  <c r="P62" i="1"/>
  <c r="P56" i="1"/>
  <c r="P55" i="1"/>
  <c r="P54" i="1"/>
  <c r="P53" i="1"/>
  <c r="P52" i="1"/>
  <c r="P51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29" i="1"/>
  <c r="P28" i="1"/>
  <c r="P26" i="1"/>
  <c r="P25" i="1"/>
  <c r="P24" i="1"/>
  <c r="P22" i="1"/>
  <c r="P21" i="1"/>
  <c r="P20" i="1"/>
  <c r="P19" i="1"/>
  <c r="P18" i="1"/>
  <c r="R17" i="1"/>
  <c r="Q17" i="1"/>
  <c r="P17" i="1"/>
  <c r="P16" i="1"/>
  <c r="P12" i="1"/>
  <c r="I62" i="1"/>
  <c r="R62" i="1" s="1"/>
  <c r="F294" i="1"/>
  <c r="F292" i="1"/>
  <c r="F291" i="1"/>
  <c r="F269" i="1"/>
  <c r="F268" i="1"/>
  <c r="F267" i="1"/>
  <c r="F266" i="1"/>
  <c r="F265" i="1"/>
  <c r="F264" i="1"/>
  <c r="F263" i="1"/>
  <c r="F262" i="1"/>
  <c r="F259" i="1"/>
  <c r="F258" i="1"/>
  <c r="F256" i="1"/>
  <c r="F257" i="1"/>
  <c r="F252" i="1"/>
  <c r="Q252" i="1" s="1"/>
  <c r="F251" i="1"/>
  <c r="F250" i="1"/>
  <c r="F249" i="1"/>
  <c r="F244" i="1"/>
  <c r="F242" i="1"/>
  <c r="F241" i="1"/>
  <c r="F240" i="1"/>
  <c r="F239" i="1"/>
  <c r="F238" i="1"/>
  <c r="F237" i="1"/>
  <c r="F234" i="1"/>
  <c r="F232" i="1"/>
  <c r="F229" i="1"/>
  <c r="F227" i="1"/>
  <c r="F226" i="1"/>
  <c r="F224" i="1"/>
  <c r="F223" i="1"/>
  <c r="F220" i="1"/>
  <c r="F219" i="1"/>
  <c r="F218" i="1"/>
  <c r="F217" i="1"/>
  <c r="F216" i="1"/>
  <c r="F215" i="1"/>
  <c r="F214" i="1"/>
  <c r="F213" i="1"/>
  <c r="F208" i="1"/>
  <c r="F207" i="1"/>
  <c r="F206" i="1"/>
  <c r="F205" i="1"/>
  <c r="F204" i="1"/>
  <c r="F203" i="1"/>
  <c r="F202" i="1"/>
  <c r="F200" i="1"/>
  <c r="F199" i="1"/>
  <c r="F173" i="1"/>
  <c r="F171" i="1"/>
  <c r="F168" i="1"/>
  <c r="F166" i="1"/>
  <c r="F165" i="1"/>
  <c r="F164" i="1"/>
  <c r="F163" i="1"/>
  <c r="F162" i="1"/>
  <c r="F161" i="1"/>
  <c r="F160" i="1"/>
  <c r="I160" i="1" s="1"/>
  <c r="F159" i="1"/>
  <c r="Q159" i="1" s="1"/>
  <c r="F158" i="1"/>
  <c r="F157" i="1"/>
  <c r="F156" i="1"/>
  <c r="F155" i="1"/>
  <c r="I155" i="1" s="1"/>
  <c r="F154" i="1"/>
  <c r="I154" i="1" s="1"/>
  <c r="F151" i="1"/>
  <c r="F150" i="1"/>
  <c r="F147" i="1"/>
  <c r="F146" i="1"/>
  <c r="F145" i="1"/>
  <c r="F144" i="1"/>
  <c r="F143" i="1"/>
  <c r="F141" i="1"/>
  <c r="F140" i="1"/>
  <c r="F139" i="1"/>
  <c r="F138" i="1"/>
  <c r="F137" i="1"/>
  <c r="F134" i="1"/>
  <c r="F128" i="1"/>
  <c r="F127" i="1"/>
  <c r="F126" i="1"/>
  <c r="F125" i="1"/>
  <c r="F124" i="1"/>
  <c r="F120" i="1"/>
  <c r="F119" i="1"/>
  <c r="F118" i="1"/>
  <c r="F117" i="1"/>
  <c r="F116" i="1"/>
  <c r="F115" i="1"/>
  <c r="F114" i="1"/>
  <c r="F113" i="1"/>
  <c r="F112" i="1"/>
  <c r="Q108" i="1"/>
  <c r="F107" i="1"/>
  <c r="F106" i="1"/>
  <c r="F105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2" i="1"/>
  <c r="F70" i="1"/>
  <c r="F65" i="1"/>
  <c r="F64" i="1"/>
  <c r="F63" i="1"/>
  <c r="I63" i="1" s="1"/>
  <c r="Q154" i="1" l="1"/>
  <c r="F247" i="1"/>
  <c r="F135" i="1"/>
  <c r="Q135" i="1" s="1"/>
  <c r="F197" i="1"/>
  <c r="F169" i="1"/>
  <c r="Q57" i="1"/>
  <c r="P169" i="1"/>
  <c r="P335" i="1" s="1"/>
  <c r="Q107" i="1"/>
  <c r="P32" i="1"/>
  <c r="R108" i="1"/>
  <c r="F230" i="1"/>
  <c r="Q30" i="1"/>
  <c r="Q44" i="1"/>
  <c r="Q33" i="1"/>
  <c r="Q31" i="1"/>
  <c r="Q120" i="1"/>
  <c r="Q282" i="1"/>
  <c r="F211" i="1"/>
  <c r="Q211" i="1" s="1"/>
  <c r="F289" i="1"/>
  <c r="Q248" i="1"/>
  <c r="F103" i="1"/>
  <c r="F260" i="1"/>
  <c r="Q260" i="1" s="1"/>
  <c r="F61" i="1"/>
  <c r="Q231" i="1"/>
  <c r="Q51" i="1"/>
  <c r="R290" i="1"/>
  <c r="Q13" i="1"/>
  <c r="Q298" i="1"/>
  <c r="Q300" i="1"/>
  <c r="R281" i="1"/>
  <c r="Q281" i="1"/>
  <c r="Q45" i="1"/>
  <c r="R41" i="1"/>
  <c r="R52" i="1"/>
  <c r="R19" i="1"/>
  <c r="Q19" i="1"/>
  <c r="R24" i="1"/>
  <c r="Q24" i="1"/>
  <c r="R29" i="1"/>
  <c r="Q29" i="1"/>
  <c r="R33" i="1"/>
  <c r="R37" i="1"/>
  <c r="Q37" i="1"/>
  <c r="Q43" i="1"/>
  <c r="R43" i="1"/>
  <c r="Q54" i="1"/>
  <c r="R54" i="1"/>
  <c r="Q63" i="1"/>
  <c r="Q71" i="1"/>
  <c r="I71" i="1"/>
  <c r="R71" i="1" s="1"/>
  <c r="Q84" i="1"/>
  <c r="I84" i="1"/>
  <c r="R84" i="1" s="1"/>
  <c r="Q90" i="1"/>
  <c r="I90" i="1"/>
  <c r="R90" i="1" s="1"/>
  <c r="I94" i="1"/>
  <c r="R94" i="1" s="1"/>
  <c r="Q94" i="1"/>
  <c r="Q98" i="1"/>
  <c r="I98" i="1"/>
  <c r="R98" i="1" s="1"/>
  <c r="Q105" i="1"/>
  <c r="I105" i="1"/>
  <c r="R105" i="1" s="1"/>
  <c r="Q112" i="1"/>
  <c r="I112" i="1"/>
  <c r="R112" i="1" s="1"/>
  <c r="Q116" i="1"/>
  <c r="I116" i="1"/>
  <c r="R116" i="1" s="1"/>
  <c r="I120" i="1"/>
  <c r="Q127" i="1"/>
  <c r="I127" i="1"/>
  <c r="R127" i="1" s="1"/>
  <c r="Q137" i="1"/>
  <c r="I137" i="1"/>
  <c r="Q141" i="1"/>
  <c r="I141" i="1"/>
  <c r="R141" i="1" s="1"/>
  <c r="Q145" i="1"/>
  <c r="I145" i="1"/>
  <c r="R145" i="1" s="1"/>
  <c r="Q150" i="1"/>
  <c r="I150" i="1"/>
  <c r="R150" i="1" s="1"/>
  <c r="Q156" i="1"/>
  <c r="I156" i="1"/>
  <c r="R156" i="1" s="1"/>
  <c r="Q160" i="1"/>
  <c r="R160" i="1"/>
  <c r="Q164" i="1"/>
  <c r="I164" i="1"/>
  <c r="R164" i="1" s="1"/>
  <c r="Q177" i="1"/>
  <c r="R177" i="1"/>
  <c r="Q190" i="1"/>
  <c r="R190" i="1"/>
  <c r="Q194" i="1"/>
  <c r="R194" i="1"/>
  <c r="Q200" i="1"/>
  <c r="I200" i="1"/>
  <c r="Q205" i="1"/>
  <c r="I205" i="1"/>
  <c r="R205" i="1" s="1"/>
  <c r="Q213" i="1"/>
  <c r="I213" i="1"/>
  <c r="Q217" i="1"/>
  <c r="I217" i="1"/>
  <c r="R217" i="1" s="1"/>
  <c r="Q223" i="1"/>
  <c r="I223" i="1"/>
  <c r="R223" i="1" s="1"/>
  <c r="Q229" i="1"/>
  <c r="I229" i="1"/>
  <c r="R229" i="1" s="1"/>
  <c r="Q237" i="1"/>
  <c r="I237" i="1"/>
  <c r="R237" i="1" s="1"/>
  <c r="Q241" i="1"/>
  <c r="I241" i="1"/>
  <c r="R241" i="1" s="1"/>
  <c r="Q250" i="1"/>
  <c r="I250" i="1"/>
  <c r="R250" i="1" s="1"/>
  <c r="Q256" i="1"/>
  <c r="I256" i="1"/>
  <c r="R256" i="1" s="1"/>
  <c r="Q263" i="1"/>
  <c r="I263" i="1"/>
  <c r="R263" i="1" s="1"/>
  <c r="Q266" i="1"/>
  <c r="I266" i="1"/>
  <c r="R266" i="1" s="1"/>
  <c r="Q273" i="1"/>
  <c r="Q286" i="1"/>
  <c r="R286" i="1"/>
  <c r="Q293" i="1"/>
  <c r="I293" i="1"/>
  <c r="R293" i="1" s="1"/>
  <c r="Q302" i="1"/>
  <c r="Q306" i="1"/>
  <c r="R306" i="1"/>
  <c r="Q315" i="1"/>
  <c r="R315" i="1"/>
  <c r="R20" i="1"/>
  <c r="Q20" i="1"/>
  <c r="R25" i="1"/>
  <c r="Q25" i="1"/>
  <c r="R30" i="1"/>
  <c r="Q34" i="1"/>
  <c r="R38" i="1"/>
  <c r="Q38" i="1"/>
  <c r="Q46" i="1"/>
  <c r="R55" i="1"/>
  <c r="Q55" i="1"/>
  <c r="Q64" i="1"/>
  <c r="I64" i="1"/>
  <c r="R64" i="1" s="1"/>
  <c r="Q76" i="1"/>
  <c r="I76" i="1"/>
  <c r="R76" i="1" s="1"/>
  <c r="Q85" i="1"/>
  <c r="I85" i="1"/>
  <c r="R85" i="1" s="1"/>
  <c r="I91" i="1"/>
  <c r="Q95" i="1"/>
  <c r="I95" i="1"/>
  <c r="R95" i="1" s="1"/>
  <c r="Q99" i="1"/>
  <c r="I99" i="1"/>
  <c r="R99" i="1" s="1"/>
  <c r="Q106" i="1"/>
  <c r="I106" i="1"/>
  <c r="Q113" i="1"/>
  <c r="I113" i="1"/>
  <c r="R113" i="1" s="1"/>
  <c r="Q117" i="1"/>
  <c r="I117" i="1"/>
  <c r="R117" i="1" s="1"/>
  <c r="Q124" i="1"/>
  <c r="I124" i="1"/>
  <c r="R124" i="1" s="1"/>
  <c r="Q128" i="1"/>
  <c r="I128" i="1"/>
  <c r="R128" i="1" s="1"/>
  <c r="Q138" i="1"/>
  <c r="I138" i="1"/>
  <c r="Q142" i="1"/>
  <c r="I142" i="1"/>
  <c r="R142" i="1" s="1"/>
  <c r="Q146" i="1"/>
  <c r="I146" i="1"/>
  <c r="R146" i="1" s="1"/>
  <c r="Q151" i="1"/>
  <c r="I151" i="1"/>
  <c r="R151" i="1" s="1"/>
  <c r="Q157" i="1"/>
  <c r="I157" i="1"/>
  <c r="R157" i="1" s="1"/>
  <c r="Q161" i="1"/>
  <c r="I161" i="1"/>
  <c r="R161" i="1" s="1"/>
  <c r="Q165" i="1"/>
  <c r="I165" i="1"/>
  <c r="Q171" i="1"/>
  <c r="I171" i="1"/>
  <c r="Q181" i="1"/>
  <c r="R181" i="1"/>
  <c r="Q191" i="1"/>
  <c r="R191" i="1"/>
  <c r="Q195" i="1"/>
  <c r="R195" i="1"/>
  <c r="Q202" i="1"/>
  <c r="I202" i="1"/>
  <c r="R202" i="1" s="1"/>
  <c r="Q206" i="1"/>
  <c r="I206" i="1"/>
  <c r="R206" i="1" s="1"/>
  <c r="Q214" i="1"/>
  <c r="I214" i="1"/>
  <c r="R214" i="1" s="1"/>
  <c r="Q218" i="1"/>
  <c r="I218" i="1"/>
  <c r="R218" i="1" s="1"/>
  <c r="Q224" i="1"/>
  <c r="I224" i="1"/>
  <c r="R224" i="1" s="1"/>
  <c r="Q232" i="1"/>
  <c r="I232" i="1"/>
  <c r="Q238" i="1"/>
  <c r="I238" i="1"/>
  <c r="R238" i="1" s="1"/>
  <c r="Q242" i="1"/>
  <c r="I242" i="1"/>
  <c r="R242" i="1" s="1"/>
  <c r="Q251" i="1"/>
  <c r="I251" i="1"/>
  <c r="R251" i="1" s="1"/>
  <c r="Q258" i="1"/>
  <c r="I258" i="1"/>
  <c r="R258" i="1" s="1"/>
  <c r="Q264" i="1"/>
  <c r="I264" i="1"/>
  <c r="Q267" i="1"/>
  <c r="I267" i="1"/>
  <c r="R267" i="1" s="1"/>
  <c r="Q274" i="1"/>
  <c r="R274" i="1"/>
  <c r="Q283" i="1"/>
  <c r="R283" i="1"/>
  <c r="Q287" i="1"/>
  <c r="R287" i="1"/>
  <c r="Q294" i="1"/>
  <c r="I294" i="1"/>
  <c r="R294" i="1" s="1"/>
  <c r="Q303" i="1"/>
  <c r="R303" i="1"/>
  <c r="Q307" i="1"/>
  <c r="R307" i="1"/>
  <c r="Q316" i="1"/>
  <c r="R316" i="1"/>
  <c r="Q21" i="1"/>
  <c r="R21" i="1"/>
  <c r="Q26" i="1"/>
  <c r="R31" i="1"/>
  <c r="Q35" i="1"/>
  <c r="R35" i="1"/>
  <c r="Q39" i="1"/>
  <c r="R39" i="1"/>
  <c r="Q47" i="1"/>
  <c r="R47" i="1"/>
  <c r="Q56" i="1"/>
  <c r="R56" i="1"/>
  <c r="Q65" i="1"/>
  <c r="I65" i="1"/>
  <c r="R65" i="1" s="1"/>
  <c r="Q82" i="1"/>
  <c r="I82" i="1"/>
  <c r="R82" i="1" s="1"/>
  <c r="I86" i="1"/>
  <c r="R86" i="1" s="1"/>
  <c r="Q92" i="1"/>
  <c r="I92" i="1"/>
  <c r="Q96" i="1"/>
  <c r="I96" i="1"/>
  <c r="R96" i="1" s="1"/>
  <c r="Q100" i="1"/>
  <c r="I100" i="1"/>
  <c r="R100" i="1" s="1"/>
  <c r="I107" i="1"/>
  <c r="R107" i="1" s="1"/>
  <c r="Q114" i="1"/>
  <c r="I114" i="1"/>
  <c r="R114" i="1" s="1"/>
  <c r="Q118" i="1"/>
  <c r="I118" i="1"/>
  <c r="R118" i="1" s="1"/>
  <c r="Q125" i="1"/>
  <c r="I125" i="1"/>
  <c r="R125" i="1" s="1"/>
  <c r="Q139" i="1"/>
  <c r="I139" i="1"/>
  <c r="R139" i="1" s="1"/>
  <c r="Q143" i="1"/>
  <c r="I143" i="1"/>
  <c r="R143" i="1" s="1"/>
  <c r="Q147" i="1"/>
  <c r="I147" i="1"/>
  <c r="R147" i="1" s="1"/>
  <c r="Q158" i="1"/>
  <c r="I158" i="1"/>
  <c r="R158" i="1" s="1"/>
  <c r="Q162" i="1"/>
  <c r="I162" i="1"/>
  <c r="R162" i="1" s="1"/>
  <c r="Q166" i="1"/>
  <c r="I166" i="1"/>
  <c r="R166" i="1" s="1"/>
  <c r="Q173" i="1"/>
  <c r="I173" i="1"/>
  <c r="R173" i="1" s="1"/>
  <c r="Q182" i="1"/>
  <c r="Q192" i="1"/>
  <c r="R192" i="1"/>
  <c r="Q196" i="1"/>
  <c r="R196" i="1"/>
  <c r="Q203" i="1"/>
  <c r="I203" i="1"/>
  <c r="R203" i="1" s="1"/>
  <c r="Q207" i="1"/>
  <c r="I207" i="1"/>
  <c r="R207" i="1" s="1"/>
  <c r="Q215" i="1"/>
  <c r="I215" i="1"/>
  <c r="R215" i="1" s="1"/>
  <c r="Q219" i="1"/>
  <c r="I219" i="1"/>
  <c r="R219" i="1" s="1"/>
  <c r="Q226" i="1"/>
  <c r="I226" i="1"/>
  <c r="Q239" i="1"/>
  <c r="I239" i="1"/>
  <c r="R239" i="1" s="1"/>
  <c r="Q244" i="1"/>
  <c r="I244" i="1"/>
  <c r="R244" i="1" s="1"/>
  <c r="I252" i="1"/>
  <c r="R252" i="1" s="1"/>
  <c r="Q259" i="1"/>
  <c r="I259" i="1"/>
  <c r="R259" i="1" s="1"/>
  <c r="Q268" i="1"/>
  <c r="I268" i="1"/>
  <c r="R268" i="1" s="1"/>
  <c r="Q275" i="1"/>
  <c r="R275" i="1"/>
  <c r="Q276" i="1"/>
  <c r="R276" i="1"/>
  <c r="Q284" i="1"/>
  <c r="R284" i="1"/>
  <c r="Q291" i="1"/>
  <c r="I291" i="1"/>
  <c r="Q297" i="1"/>
  <c r="Q304" i="1"/>
  <c r="R304" i="1"/>
  <c r="Q313" i="1"/>
  <c r="Q317" i="1"/>
  <c r="Q18" i="1"/>
  <c r="Q22" i="1"/>
  <c r="R22" i="1"/>
  <c r="Q28" i="1"/>
  <c r="R28" i="1"/>
  <c r="Q36" i="1"/>
  <c r="R36" i="1"/>
  <c r="Q42" i="1"/>
  <c r="Q53" i="1"/>
  <c r="I70" i="1"/>
  <c r="R70" i="1" s="1"/>
  <c r="Q70" i="1"/>
  <c r="I83" i="1"/>
  <c r="R83" i="1" s="1"/>
  <c r="Q83" i="1"/>
  <c r="I89" i="1"/>
  <c r="R89" i="1" s="1"/>
  <c r="Q89" i="1"/>
  <c r="I93" i="1"/>
  <c r="R93" i="1" s="1"/>
  <c r="Q93" i="1"/>
  <c r="Q97" i="1"/>
  <c r="I97" i="1"/>
  <c r="R97" i="1" s="1"/>
  <c r="Q101" i="1"/>
  <c r="I101" i="1"/>
  <c r="R101" i="1" s="1"/>
  <c r="Q115" i="1"/>
  <c r="I115" i="1"/>
  <c r="R115" i="1" s="1"/>
  <c r="Q119" i="1"/>
  <c r="I119" i="1"/>
  <c r="R119" i="1" s="1"/>
  <c r="Q126" i="1"/>
  <c r="I126" i="1"/>
  <c r="R126" i="1" s="1"/>
  <c r="Q134" i="1"/>
  <c r="I134" i="1"/>
  <c r="R134" i="1" s="1"/>
  <c r="Q140" i="1"/>
  <c r="I140" i="1"/>
  <c r="R140" i="1" s="1"/>
  <c r="Q144" i="1"/>
  <c r="I144" i="1"/>
  <c r="R144" i="1" s="1"/>
  <c r="Q149" i="1"/>
  <c r="I149" i="1"/>
  <c r="R149" i="1" s="1"/>
  <c r="Q155" i="1"/>
  <c r="R155" i="1"/>
  <c r="I159" i="1"/>
  <c r="R159" i="1" s="1"/>
  <c r="Q163" i="1"/>
  <c r="I163" i="1"/>
  <c r="R163" i="1" s="1"/>
  <c r="Q168" i="1"/>
  <c r="I168" i="1"/>
  <c r="R168" i="1" s="1"/>
  <c r="Q176" i="1"/>
  <c r="R183" i="1"/>
  <c r="Q193" i="1"/>
  <c r="R193" i="1"/>
  <c r="Q199" i="1"/>
  <c r="I199" i="1"/>
  <c r="Q204" i="1"/>
  <c r="I204" i="1"/>
  <c r="R204" i="1" s="1"/>
  <c r="Q208" i="1"/>
  <c r="I208" i="1"/>
  <c r="R208" i="1" s="1"/>
  <c r="Q216" i="1"/>
  <c r="I216" i="1"/>
  <c r="R216" i="1" s="1"/>
  <c r="Q220" i="1"/>
  <c r="I220" i="1"/>
  <c r="R220" i="1" s="1"/>
  <c r="Q227" i="1"/>
  <c r="I227" i="1"/>
  <c r="R227" i="1" s="1"/>
  <c r="Q234" i="1"/>
  <c r="I234" i="1"/>
  <c r="R234" i="1" s="1"/>
  <c r="Q240" i="1"/>
  <c r="I240" i="1"/>
  <c r="R240" i="1" s="1"/>
  <c r="Q249" i="1"/>
  <c r="I249" i="1"/>
  <c r="Q257" i="1"/>
  <c r="I257" i="1"/>
  <c r="R257" i="1" s="1"/>
  <c r="Q262" i="1"/>
  <c r="I262" i="1"/>
  <c r="Q265" i="1"/>
  <c r="I265" i="1"/>
  <c r="R265" i="1" s="1"/>
  <c r="Q269" i="1"/>
  <c r="I269" i="1"/>
  <c r="R269" i="1" s="1"/>
  <c r="Q277" i="1"/>
  <c r="R277" i="1"/>
  <c r="Q279" i="1"/>
  <c r="Q285" i="1"/>
  <c r="R285" i="1"/>
  <c r="Q292" i="1"/>
  <c r="I292" i="1"/>
  <c r="R292" i="1" s="1"/>
  <c r="Q301" i="1"/>
  <c r="Q305" i="1"/>
  <c r="R305" i="1"/>
  <c r="Q314" i="1"/>
  <c r="R314" i="1"/>
  <c r="Q318" i="1"/>
  <c r="R318" i="1"/>
  <c r="Q12" i="1"/>
  <c r="R165" i="1" l="1"/>
  <c r="I135" i="1"/>
  <c r="R135" i="1" s="1"/>
  <c r="I197" i="1"/>
  <c r="I247" i="1"/>
  <c r="R302" i="1"/>
  <c r="R317" i="1"/>
  <c r="Q280" i="1"/>
  <c r="R154" i="1"/>
  <c r="R226" i="1"/>
  <c r="R273" i="1"/>
  <c r="Q230" i="1"/>
  <c r="R182" i="1"/>
  <c r="Q169" i="1"/>
  <c r="Q32" i="1"/>
  <c r="I169" i="1"/>
  <c r="R34" i="1"/>
  <c r="R32" i="1" s="1"/>
  <c r="R297" i="1"/>
  <c r="Q91" i="1"/>
  <c r="R26" i="1"/>
  <c r="R120" i="1"/>
  <c r="R313" i="1"/>
  <c r="R91" i="1"/>
  <c r="R92" i="1"/>
  <c r="R301" i="1"/>
  <c r="R282" i="1"/>
  <c r="R280" i="1"/>
  <c r="R57" i="1"/>
  <c r="R12" i="1"/>
  <c r="R249" i="1"/>
  <c r="R199" i="1"/>
  <c r="R137" i="1"/>
  <c r="I211" i="1"/>
  <c r="R211" i="1" s="1"/>
  <c r="I230" i="1"/>
  <c r="R230" i="1" s="1"/>
  <c r="R262" i="1"/>
  <c r="I260" i="1"/>
  <c r="R260" i="1" s="1"/>
  <c r="R42" i="1"/>
  <c r="R40" i="1"/>
  <c r="I103" i="1"/>
  <c r="R106" i="1"/>
  <c r="I61" i="1"/>
  <c r="R63" i="1"/>
  <c r="R264" i="1"/>
  <c r="R176" i="1"/>
  <c r="R18" i="1"/>
  <c r="I289" i="1"/>
  <c r="R291" i="1"/>
  <c r="R232" i="1"/>
  <c r="R44" i="1"/>
  <c r="R46" i="1"/>
  <c r="R171" i="1"/>
  <c r="R169" i="1" s="1"/>
  <c r="R213" i="1"/>
  <c r="R200" i="1"/>
  <c r="R279" i="1"/>
  <c r="R278" i="1"/>
  <c r="R51" i="1"/>
  <c r="R53" i="1"/>
  <c r="R138" i="1"/>
  <c r="L335" i="1" l="1"/>
  <c r="R271" i="1" l="1"/>
  <c r="Q299" i="1" l="1"/>
  <c r="Q278" i="1" l="1"/>
  <c r="Q271" i="1"/>
  <c r="M335" i="1"/>
  <c r="N335" i="1"/>
  <c r="K335" i="1" l="1"/>
  <c r="R16" i="1"/>
  <c r="Q16" i="1"/>
  <c r="R289" i="1" l="1"/>
  <c r="Q289" i="1" l="1"/>
  <c r="R61" i="1" l="1"/>
  <c r="Q61" i="1"/>
  <c r="Q174" i="1" l="1"/>
  <c r="R197" i="1"/>
  <c r="Q103" i="1"/>
  <c r="R103" i="1"/>
  <c r="G335" i="1" l="1"/>
  <c r="F335" i="1"/>
  <c r="Q197" i="1"/>
  <c r="R295" i="1"/>
  <c r="R299" i="1"/>
  <c r="Q40" i="1"/>
  <c r="Q247" i="1"/>
  <c r="Q295" i="1"/>
  <c r="H335" i="1" l="1"/>
  <c r="O335" i="1"/>
  <c r="Q335" i="1"/>
  <c r="I335" i="1" l="1"/>
  <c r="R247" i="1" l="1"/>
  <c r="R335" i="1" s="1"/>
</calcChain>
</file>

<file path=xl/sharedStrings.xml><?xml version="1.0" encoding="utf-8"?>
<sst xmlns="http://schemas.openxmlformats.org/spreadsheetml/2006/main" count="806" uniqueCount="570">
  <si>
    <t>(грн.)</t>
  </si>
  <si>
    <t>Всього</t>
  </si>
  <si>
    <t>Виконавчий комітет Івано-Франківської міської ради</t>
  </si>
  <si>
    <t>Керівництво і управління у сфері соціального захисту населення</t>
  </si>
  <si>
    <t>Надання пільг окремим категоріям громадян з послуг зв`язку</t>
  </si>
  <si>
    <t>Компенсацiйнi виплати за пiльговий проїзд окремих категорiй громадян на залізничному транспорті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</si>
  <si>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</si>
  <si>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Охорона та раціональне використання природних ресурсів</t>
  </si>
  <si>
    <t>Керівництво і управління у сфері капітального будівництва</t>
  </si>
  <si>
    <t>Сприяння розвитку малого та середнього підприємництва</t>
  </si>
  <si>
    <t>Резервний фонд</t>
  </si>
  <si>
    <t>Керівництво і управління у сфері освіти і науки</t>
  </si>
  <si>
    <t>Багатопрофільна стаціонарна медична допомога населенню</t>
  </si>
  <si>
    <t>Керівництво і управління у справах дітей</t>
  </si>
  <si>
    <t xml:space="preserve">Керівництво і управління у сфері культури </t>
  </si>
  <si>
    <t>Внески до статутного капіталу суб'єктів господарювання</t>
  </si>
  <si>
    <t xml:space="preserve">Керівництво і управління у сфері містобудування та архітектури </t>
  </si>
  <si>
    <t xml:space="preserve">Керівництво і управління у сфері  економічного та інтеграційного розвитку міста </t>
  </si>
  <si>
    <t xml:space="preserve">Лікарсько-акушерська допомога вагітним, породіллям та новонародженим  </t>
  </si>
  <si>
    <t>Керівництво і управління у сфері житолової, комунальної політики та благоустрою</t>
  </si>
  <si>
    <t>Капітальний ремонт житлового фонду</t>
  </si>
  <si>
    <t>0180</t>
  </si>
  <si>
    <t>Компенсаційні виплати на пільговий проїзд електротранспортом окремим категоріям громадян</t>
  </si>
  <si>
    <t>Реверсна дотація</t>
  </si>
  <si>
    <t>0133</t>
  </si>
  <si>
    <t>0930</t>
  </si>
  <si>
    <t>у тому числі за рахунок освітньої субвенції з Державного бюджету України</t>
  </si>
  <si>
    <t>0511</t>
  </si>
  <si>
    <t>у тому числі за рахунок медичної субвенції з Державного бюджету України</t>
  </si>
  <si>
    <t>0731</t>
  </si>
  <si>
    <t>0733</t>
  </si>
  <si>
    <t>0721</t>
  </si>
  <si>
    <t>0722</t>
  </si>
  <si>
    <t>0763</t>
  </si>
  <si>
    <t>0111</t>
  </si>
  <si>
    <t>Керівництво та управління у сфері молодіжної політики та спорту</t>
  </si>
  <si>
    <t>Керівництво і управління у сфері складання та виконання місцевого бюджету</t>
  </si>
  <si>
    <t>Керівництво і управління у сфері комунальної власності</t>
  </si>
  <si>
    <t>1070</t>
  </si>
  <si>
    <t>0610</t>
  </si>
  <si>
    <t>0620</t>
  </si>
  <si>
    <t>0490</t>
  </si>
  <si>
    <t>0411</t>
  </si>
  <si>
    <t>Програма промоції міста Івно-Франківська на 2016-2020 роки</t>
  </si>
  <si>
    <t xml:space="preserve">в тому числі </t>
  </si>
  <si>
    <t>- виконання рішень судів, стягнення судових витрат</t>
  </si>
  <si>
    <t>Програма розвитку дитячо-юнацького футболу на 2016-2020 рр</t>
  </si>
  <si>
    <t>0910</t>
  </si>
  <si>
    <t>0921</t>
  </si>
  <si>
    <t>0922</t>
  </si>
  <si>
    <t>0960</t>
  </si>
  <si>
    <t>0950</t>
  </si>
  <si>
    <t>0990</t>
  </si>
  <si>
    <t>1040</t>
  </si>
  <si>
    <t>0810</t>
  </si>
  <si>
    <t xml:space="preserve">Проведення навчально-тренувальних зборiв i змагань з олімпійських видів спорту </t>
  </si>
  <si>
    <t>5011</t>
  </si>
  <si>
    <t>- видатки на виконання судових рішень</t>
  </si>
  <si>
    <t>- примусове виконання рішень суду</t>
  </si>
  <si>
    <t>4060</t>
  </si>
  <si>
    <t>0824</t>
  </si>
  <si>
    <t>0828</t>
  </si>
  <si>
    <t>0829</t>
  </si>
  <si>
    <t>0830</t>
  </si>
  <si>
    <t>1030</t>
  </si>
  <si>
    <t>1060</t>
  </si>
  <si>
    <t>1010</t>
  </si>
  <si>
    <t>1020</t>
  </si>
  <si>
    <t>1090</t>
  </si>
  <si>
    <t>0821</t>
  </si>
  <si>
    <t>видатки розвитку</t>
  </si>
  <si>
    <t>Внески до статутного капіталу суб’єктів господарювання</t>
  </si>
  <si>
    <t>Компенсаційні виплати на пільговий проїзд автомобільним транспортом окремим категоріям громодян</t>
  </si>
  <si>
    <t>Пільгове медичне обслуговування осіб, які постраждали внаслідок Чорнобильської катастрофи</t>
  </si>
  <si>
    <t xml:space="preserve">Програма легалізації найманої праці та забезпечення кваліфікованими кадрами підприємств м. Івано-Франківська на 2017-2020 р.р.  </t>
  </si>
  <si>
    <t>Програма "Партиципаторне бюджетування (бюджет участі) у м. Івано-Франківську</t>
  </si>
  <si>
    <t>Утримання та  навчально-тренувальна робота комунальних дитячо-юнацьких  спортивних шкіл</t>
  </si>
  <si>
    <t>Комплексна програма запобігання виникненню надзвичайних ситуації природного і техногенного характеру та підвищення рівня готовності аварійно-рятувальної служби м.Івано-Франківська   на 2016-2020 роки</t>
  </si>
  <si>
    <t>0320</t>
  </si>
  <si>
    <t xml:space="preserve">Проведення навчально-тренувальних зборiв i змагань з неолімпійських видів спорту </t>
  </si>
  <si>
    <t>5012</t>
  </si>
  <si>
    <t>0160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</si>
  <si>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</si>
  <si>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</si>
  <si>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5021</t>
  </si>
  <si>
    <t>5022</t>
  </si>
  <si>
    <t>5031</t>
  </si>
  <si>
    <t>5061</t>
  </si>
  <si>
    <t>Забезпечення діяльності місцевих центрів фізичного здоров'я населення «Спорт для всіх» та проведення  фізкультурно-масових заходів серед населення регіону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</si>
  <si>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</si>
  <si>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</si>
  <si>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4010</t>
  </si>
  <si>
    <t>Фінансова підтримка театрів</t>
  </si>
  <si>
    <t>4030</t>
  </si>
  <si>
    <t>Забезпечення діяльності бiблiотек</t>
  </si>
  <si>
    <t>Забезпечення діяльності палаців і будинків культури, клубів, центрів дозвілля та інші клубних закладів</t>
  </si>
  <si>
    <t>1100</t>
  </si>
  <si>
    <t>8410</t>
  </si>
  <si>
    <t>Фінансова підтримка засобів масової інформації</t>
  </si>
  <si>
    <t>8130</t>
  </si>
  <si>
    <t>Забезпечення діяльності місцевої пожежної охорони</t>
  </si>
  <si>
    <t>7670</t>
  </si>
  <si>
    <t>Надання дошкільної освіти</t>
  </si>
  <si>
    <t>1110</t>
  </si>
  <si>
    <t>Підвищення кваліфікації, перепідготовка кадрів закладами післядипломної освіти</t>
  </si>
  <si>
    <t>1150</t>
  </si>
  <si>
    <t>1160</t>
  </si>
  <si>
    <t>3132</t>
  </si>
  <si>
    <t>Утримання клубів для підлітків за місцем проживання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</si>
  <si>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</si>
  <si>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</si>
  <si>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Керівництво та управління у сфері охорони здоров'я</t>
  </si>
  <si>
    <t xml:space="preserve">Управління охорони здоров'я Івано-Франківської міської ради </t>
  </si>
  <si>
    <t>2030</t>
  </si>
  <si>
    <t>2080</t>
  </si>
  <si>
    <t>2100</t>
  </si>
  <si>
    <t>Стоматологічна допомога населенню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</si>
  <si>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</si>
  <si>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</si>
  <si>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</si>
  <si>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</si>
  <si>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8311</t>
  </si>
  <si>
    <t>Реалізація інших заходів щодо соціально-економічного розвитку територій</t>
  </si>
  <si>
    <t>7610</t>
  </si>
  <si>
    <t>8600</t>
  </si>
  <si>
    <t>Обслуговування  місцевого боргу</t>
  </si>
  <si>
    <t>0170</t>
  </si>
  <si>
    <t>8700</t>
  </si>
  <si>
    <t>9770</t>
  </si>
  <si>
    <t xml:space="preserve">Інші субвенції з місцевого бюджету </t>
  </si>
  <si>
    <t>9110</t>
  </si>
  <si>
    <t>Надання інших пільг окремим категоріям громадян відповідно до законодавства</t>
  </si>
  <si>
    <t>3032</t>
  </si>
  <si>
    <t>3121</t>
  </si>
  <si>
    <t>0600000</t>
  </si>
  <si>
    <t>0700000</t>
  </si>
  <si>
    <t>0710000</t>
  </si>
  <si>
    <t>0710160</t>
  </si>
  <si>
    <t>0712010</t>
  </si>
  <si>
    <t>0712030</t>
  </si>
  <si>
    <t>0712080</t>
  </si>
  <si>
    <t>0712100</t>
  </si>
  <si>
    <t>0800000</t>
  </si>
  <si>
    <t>0900000</t>
  </si>
  <si>
    <t>1000000</t>
  </si>
  <si>
    <t>3700000</t>
  </si>
  <si>
    <t>3710000</t>
  </si>
  <si>
    <t>3710160</t>
  </si>
  <si>
    <t>3718600</t>
  </si>
  <si>
    <t>1200000</t>
  </si>
  <si>
    <t>1210000</t>
  </si>
  <si>
    <t>1210160</t>
  </si>
  <si>
    <t>1216013</t>
  </si>
  <si>
    <t>1216030</t>
  </si>
  <si>
    <t>1217670</t>
  </si>
  <si>
    <t>0810160</t>
  </si>
  <si>
    <t>0813031</t>
  </si>
  <si>
    <t>0813032</t>
  </si>
  <si>
    <t>0813050</t>
  </si>
  <si>
    <t>0813090</t>
  </si>
  <si>
    <t>0813104</t>
  </si>
  <si>
    <t>0813121</t>
  </si>
  <si>
    <t>0810000</t>
  </si>
  <si>
    <t>0218130</t>
  </si>
  <si>
    <t>0610000</t>
  </si>
  <si>
    <t>0610160</t>
  </si>
  <si>
    <t>0611010</t>
  </si>
  <si>
    <t>0611020</t>
  </si>
  <si>
    <t>0611070</t>
  </si>
  <si>
    <t>0611090</t>
  </si>
  <si>
    <t>0611110</t>
  </si>
  <si>
    <t>0611140</t>
  </si>
  <si>
    <t>0611150</t>
  </si>
  <si>
    <t>0611160</t>
  </si>
  <si>
    <t>0613132</t>
  </si>
  <si>
    <t>0613140</t>
  </si>
  <si>
    <t>0615031</t>
  </si>
  <si>
    <t>0910000</t>
  </si>
  <si>
    <t>0910160</t>
  </si>
  <si>
    <t>1010000</t>
  </si>
  <si>
    <t>1010160</t>
  </si>
  <si>
    <t>1014010</t>
  </si>
  <si>
    <t>1014030</t>
  </si>
  <si>
    <t>1014060</t>
  </si>
  <si>
    <t>1011100</t>
  </si>
  <si>
    <t>1018410</t>
  </si>
  <si>
    <t>1900000</t>
  </si>
  <si>
    <t>1910000</t>
  </si>
  <si>
    <t>1910160</t>
  </si>
  <si>
    <t>1916030</t>
  </si>
  <si>
    <t>1917670</t>
  </si>
  <si>
    <t>0813033</t>
  </si>
  <si>
    <t>3033</t>
  </si>
  <si>
    <t>0813035</t>
  </si>
  <si>
    <t>3035</t>
  </si>
  <si>
    <t>0813036</t>
  </si>
  <si>
    <t>3036</t>
  </si>
  <si>
    <t>0210180</t>
  </si>
  <si>
    <t>Інша діяльність у сфері державного управління</t>
  </si>
  <si>
    <t>0217680</t>
  </si>
  <si>
    <t>7680</t>
  </si>
  <si>
    <t>0218210</t>
  </si>
  <si>
    <t>8210</t>
  </si>
  <si>
    <t>0380</t>
  </si>
  <si>
    <t>видатки на утримання КП "Муніципальна варта"</t>
  </si>
  <si>
    <t>Муніципальні формування з охорони громадського порядку</t>
  </si>
  <si>
    <t>видатки на утримання Громадського формування з охорони громадського порядку "Штаб"</t>
  </si>
  <si>
    <t>0218220</t>
  </si>
  <si>
    <t>8220</t>
  </si>
  <si>
    <t>0218110</t>
  </si>
  <si>
    <t>8110</t>
  </si>
  <si>
    <t>8230</t>
  </si>
  <si>
    <t>0218230</t>
  </si>
  <si>
    <t>- відшкодування комунальних послуг за призовну дільницю</t>
  </si>
  <si>
    <t xml:space="preserve">у тому числі: </t>
  </si>
  <si>
    <t>Комплексна цільова соціальна програма розвитку цивільного захисту населення та території міста Івано-Франківська від надзвичайних ситуацій природного і техногенного характеру на 2016-2020 роки</t>
  </si>
  <si>
    <t>Членські внески до асоціацій органів місцевого самоврядування</t>
  </si>
  <si>
    <t>3718700</t>
  </si>
  <si>
    <t>3719110</t>
  </si>
  <si>
    <t>3719770</t>
  </si>
  <si>
    <t>3710180</t>
  </si>
  <si>
    <t>Іншi діяльність у сфері державного управління</t>
  </si>
  <si>
    <t>Інші заходи громадського порядку та безпеки</t>
  </si>
  <si>
    <t>Заходи та роботи з мобілізаційної підготовки місцевого значення</t>
  </si>
  <si>
    <t>7622</t>
  </si>
  <si>
    <t>0470</t>
  </si>
  <si>
    <t>2717622</t>
  </si>
  <si>
    <t>2710000</t>
  </si>
  <si>
    <t>2710160</t>
  </si>
  <si>
    <t>2717693</t>
  </si>
  <si>
    <t>Заходи з енергозбереження</t>
  </si>
  <si>
    <t>2717640</t>
  </si>
  <si>
    <t>7640</t>
  </si>
  <si>
    <t>Інші заходи, пов'язані з економічною діяльністю</t>
  </si>
  <si>
    <t>у тому числі:</t>
  </si>
  <si>
    <t>2717610</t>
  </si>
  <si>
    <t>2700000</t>
  </si>
  <si>
    <t>3100000</t>
  </si>
  <si>
    <t>3110000</t>
  </si>
  <si>
    <t>3110160</t>
  </si>
  <si>
    <t>3117130</t>
  </si>
  <si>
    <t>7130</t>
  </si>
  <si>
    <t>0421</t>
  </si>
  <si>
    <t>Здійснення заходів із землеустрою</t>
  </si>
  <si>
    <t>3110180</t>
  </si>
  <si>
    <t>Іншi програми, заклади та заходи у сфері освіти</t>
  </si>
  <si>
    <t>7350</t>
  </si>
  <si>
    <t>0443</t>
  </si>
  <si>
    <t>Розроблення схем планування та забудови територій (містобудівної документації)</t>
  </si>
  <si>
    <t>1600000</t>
  </si>
  <si>
    <t>1610000</t>
  </si>
  <si>
    <t>1610160</t>
  </si>
  <si>
    <t>1617350</t>
  </si>
  <si>
    <t>Організація та проведення громадських робіт</t>
  </si>
  <si>
    <t>1050</t>
  </si>
  <si>
    <t xml:space="preserve"> за рахунок субвенції з обласного бюджету</t>
  </si>
  <si>
    <t>Містечко милосердя Святого Миколая""</t>
  </si>
  <si>
    <t>Центр соціально-психологічної реабілітації "Дивосвіт"</t>
  </si>
  <si>
    <t>Будинок нічного перебування</t>
  </si>
  <si>
    <t>в тому числі :Програми і заходи цнтру  служб для сім'ї, дітей та молоді</t>
  </si>
  <si>
    <t>1500000</t>
  </si>
  <si>
    <t>1510000</t>
  </si>
  <si>
    <t>1510160</t>
  </si>
  <si>
    <t>1910180</t>
  </si>
  <si>
    <t>1210180</t>
  </si>
  <si>
    <t>0210160</t>
  </si>
  <si>
    <t>1617340</t>
  </si>
  <si>
    <t>7340</t>
  </si>
  <si>
    <t>Проектування, реставрація та охолрона пам'яток архітектури</t>
  </si>
  <si>
    <t>0453</t>
  </si>
  <si>
    <t>1510180</t>
  </si>
  <si>
    <t>1917422</t>
  </si>
  <si>
    <t>7422</t>
  </si>
  <si>
    <t>Регулювання цін на послуги місцевого наземного електротранспорту</t>
  </si>
  <si>
    <t>1216011</t>
  </si>
  <si>
    <t>6011</t>
  </si>
  <si>
    <t>Експлуатація та технічне обслуговування житлового фонду</t>
  </si>
  <si>
    <t>1217310</t>
  </si>
  <si>
    <t>7310</t>
  </si>
  <si>
    <t>Будівництво1 об'єктів житлово-комунального господарства</t>
  </si>
  <si>
    <t>1517310</t>
  </si>
  <si>
    <t>1517321</t>
  </si>
  <si>
    <t>7321</t>
  </si>
  <si>
    <t>Будівництво1 освітніх установ та закладів</t>
  </si>
  <si>
    <t>1517324</t>
  </si>
  <si>
    <t>7324</t>
  </si>
  <si>
    <t>Будівництво1 установ та закладів культури</t>
  </si>
  <si>
    <t>1517325</t>
  </si>
  <si>
    <t>7325</t>
  </si>
  <si>
    <t>Будівництво1 споруд, установ та закладів фізичної культури і спорту</t>
  </si>
  <si>
    <t>1517330</t>
  </si>
  <si>
    <t>7330</t>
  </si>
  <si>
    <t>1517340</t>
  </si>
  <si>
    <t>Проектування, реставрація та охорона пам'яток архітектури</t>
  </si>
  <si>
    <t>1917310</t>
  </si>
  <si>
    <t>Утримання та фінансова підтримка спортивних споруд</t>
  </si>
  <si>
    <t>5041</t>
  </si>
  <si>
    <t>8010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</si>
  <si>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</si>
  <si>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0813180</t>
  </si>
  <si>
    <t>3180</t>
  </si>
  <si>
    <t>0813192</t>
  </si>
  <si>
    <t>3192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</si>
  <si>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</si>
  <si>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</si>
  <si>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</si>
  <si>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0813240</t>
  </si>
  <si>
    <t>3240</t>
  </si>
  <si>
    <t>0813242</t>
  </si>
  <si>
    <t>3242</t>
  </si>
  <si>
    <t>Інші заходи у сфері соціального захисту і соціального забезпечення</t>
  </si>
  <si>
    <t>в тому числі :</t>
  </si>
  <si>
    <t xml:space="preserve">інші видатки на соціальний захист населення </t>
  </si>
  <si>
    <t>0813160</t>
  </si>
  <si>
    <t>3160</t>
  </si>
  <si>
    <t>Надання соціальних гарантій фізичним особам , які надають соціальні послуги громадянам похилого віку, особам з інвалідністю , дітям з інвалідністю, хворим , які не здатні до самообслуговування і потребують сторонньої допомоги.</t>
  </si>
  <si>
    <t>Амбулаторно-поліклінічна допомога населенню, крім первинної медичної допомоги</t>
  </si>
  <si>
    <t>Утримання центрів фізичної культури і спорту осіб з інвалідністю і реабілітаційних шкіл</t>
  </si>
  <si>
    <t>Проведення навчально-тренувальних зборiв i змагань та заходiв зі спорту осіб з інвалідністю</t>
  </si>
  <si>
    <t>4081</t>
  </si>
  <si>
    <t>1014081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</si>
  <si>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</si>
  <si>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</si>
  <si>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</si>
  <si>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</si>
  <si>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</si>
  <si>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</si>
  <si>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</si>
  <si>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0617691</t>
  </si>
  <si>
    <t>0717691</t>
  </si>
  <si>
    <t>0817691</t>
  </si>
  <si>
    <t>0917691</t>
  </si>
  <si>
    <t>1217691</t>
  </si>
  <si>
    <t>Керівництво і управління у сфері забезпечення діяльності виконавчих органів міської ради</t>
  </si>
  <si>
    <t>0213210</t>
  </si>
  <si>
    <t>3210</t>
  </si>
  <si>
    <t>Заходи із запобігання та ліквідації надзвичайних ситуацій та наслідків стихійного лиха</t>
  </si>
  <si>
    <t>Керівництво і управління у сфері  транспорту та зв'язку</t>
  </si>
  <si>
    <t>0810180</t>
  </si>
  <si>
    <t>2717370</t>
  </si>
  <si>
    <t>7370</t>
  </si>
  <si>
    <t xml:space="preserve">Реалізація програм і заходів в галузі туризму та курортів </t>
  </si>
  <si>
    <t>Видатки на поховання учасників бойових дій тата осіб з інвалідністю внаслідок війни.</t>
  </si>
  <si>
    <t>Надання фінансової підтримки громадським організаціям ветеранів і осіб з інвалідністю, діяльність  яких має соціальну спрямованість</t>
  </si>
  <si>
    <t>Інші заклади та заходи:</t>
  </si>
  <si>
    <t>Відшкодування вартості лікарських засобів для лікування окремих захворювань</t>
  </si>
  <si>
    <t>0712146</t>
  </si>
  <si>
    <t xml:space="preserve"> 0763</t>
  </si>
  <si>
    <t>за рахунок субвенції з державного бюджету на відшкодування вартості лікарських засобів для лікування окремих захворювань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</si>
  <si>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</si>
  <si>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</si>
  <si>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7693</t>
  </si>
  <si>
    <t>2146</t>
  </si>
  <si>
    <t>у тому числі бюджет розвитку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</si>
  <si>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</si>
  <si>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</si>
  <si>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</si>
  <si>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</si>
  <si>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</si>
  <si>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Централізовані заходи з лікування хворих на цукровий та нецукровий діабет</t>
  </si>
  <si>
    <t>0712144</t>
  </si>
  <si>
    <t>2144</t>
  </si>
  <si>
    <t>0712152</t>
  </si>
  <si>
    <t>2152</t>
  </si>
  <si>
    <t>в тому числі</t>
  </si>
  <si>
    <t>0611161</t>
  </si>
  <si>
    <t>0611162</t>
  </si>
  <si>
    <t>1161</t>
  </si>
  <si>
    <t>1162</t>
  </si>
  <si>
    <t>Забезпечення діяльності інших  закладів у сфері освіти</t>
  </si>
  <si>
    <t>Іншi програми та заходи у сфері освіти</t>
  </si>
  <si>
    <t>1218311</t>
  </si>
  <si>
    <t>Програма щодо співпраці між ПТНЗ та промисловими підприємствами і МСП міста</t>
  </si>
  <si>
    <t>Програма розвитку системи надання адміністративних послуг в м. Івано-Франківську на 2019-2022 роки</t>
  </si>
  <si>
    <t>Міжнародний проект "Управління та використання міської та природної культурної спадщини в містах Дунайського регіону (URBforDAN)" в рамках грантової Дунайської транснаціональної програми</t>
  </si>
  <si>
    <t>Проект "Транскордонна зелена транспортна мережа", в рамках програми транскордонного співробітництва Угорщина-Словаччина-Румунія-Україна 2014-2020 рр.</t>
  </si>
  <si>
    <t>0712111</t>
  </si>
  <si>
    <t>0726</t>
  </si>
  <si>
    <t>Інші програми  та заходи у сфері  охорона здоров'я</t>
  </si>
  <si>
    <t>0217693</t>
  </si>
  <si>
    <t>1610180</t>
  </si>
  <si>
    <t>в тому числі цільові кошти для медичного обслуговування внутрішньо переміщених осіб</t>
  </si>
  <si>
    <t>в тому числіна здійснення переданих видатків у сфері освіти за рахунок коштів освітньої субвенції (на оплату праці з нарахуваннями інклюзивно-ресурсних центрів)</t>
  </si>
  <si>
    <t>1014020</t>
  </si>
  <si>
    <t>4020</t>
  </si>
  <si>
    <t>0822</t>
  </si>
  <si>
    <t>Фінансова підтримка філармоній, художніх і музичних колективів, ансамблів, концертних та циркових організацій</t>
  </si>
  <si>
    <t>примусове виконання рішень суду</t>
  </si>
  <si>
    <t>0216086</t>
  </si>
  <si>
    <t>6086</t>
  </si>
  <si>
    <t>Інша діяльність щодо забезпечення житлом громадян</t>
  </si>
  <si>
    <t>1917411</t>
  </si>
  <si>
    <t>7411</t>
  </si>
  <si>
    <t>0451</t>
  </si>
  <si>
    <t>Утримання та розвиток автотранспорту</t>
  </si>
  <si>
    <t>0218420</t>
  </si>
  <si>
    <t>8420</t>
  </si>
  <si>
    <t>Інші заходи у сфері засобів масової інформації</t>
  </si>
  <si>
    <t>Проведення міжнародного мистецького фестивалю країн Карпатського регіону «Carpathian Space»</t>
  </si>
  <si>
    <t>Міська цільова програма організації та відзначення в місті Івано-Франківську загальнодержавних, міських свят, державних пам'ятних дат, релігійних та історичних подій на 2018-2020 роки</t>
  </si>
  <si>
    <t>Довгострокова програма фінансування мобілізаційних заходів та оборонної роботи Івано-Франківської міської ради на 2019-2023 роки</t>
  </si>
  <si>
    <t>в тому числі на надання державної підтримки особам з особливими освітніми потребами за рахунок відповідної субвенції з державного бюджету</t>
  </si>
  <si>
    <t>1517370</t>
  </si>
  <si>
    <t>1617670</t>
  </si>
  <si>
    <t>від ________ №________</t>
  </si>
  <si>
    <t>до  рішення ______________________ ради</t>
  </si>
  <si>
    <t>0611170</t>
  </si>
  <si>
    <t>1170</t>
  </si>
  <si>
    <t>Забезпечення діяльності інклюзивно-ресурсних центрів</t>
  </si>
  <si>
    <t>Управління архітектури, дизайну та містобудівної діяльності Івано-Франківської міської ради</t>
  </si>
  <si>
    <t>Фінансове управління виконавчого комітету Івано-Франківської міської ради</t>
  </si>
  <si>
    <t>Департамент житлової, комунальної політики та благоустрою Івано-Франківської міської ради</t>
  </si>
  <si>
    <t>Управління капітального будівництва міськвиконкому</t>
  </si>
  <si>
    <t>Управління транспорту та зв'язку Івано-Франківської міської ради</t>
  </si>
  <si>
    <t>Управління економічного та інтеграційного розвитку виконавчого комітету міської ради</t>
  </si>
  <si>
    <t>Департамент культури  Івано-Франківської міської ради</t>
  </si>
  <si>
    <t>Департамент соціальної політики виконкому Івано-Франківської міської ради</t>
  </si>
  <si>
    <t>Департамент молодіжної політики та спорту Івано-Франківської міської ради</t>
  </si>
  <si>
    <t>Служба у справах дітей виконавчого комітету Івано-Франківської міської ради</t>
  </si>
  <si>
    <t>Департамент освіти та науки  Івано-Франківської міської ради</t>
  </si>
  <si>
    <t>Департамент комунальних ресурсів Івано-Форанківської міської ради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</si>
  <si>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</si>
  <si>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3118311</t>
  </si>
  <si>
    <t>1216016</t>
  </si>
  <si>
    <t>6016</t>
  </si>
  <si>
    <t>Впровадження засобів обліку витрат та регулювання споживання води та теплової енергії</t>
  </si>
  <si>
    <t>Інші видатки</t>
  </si>
  <si>
    <t>1517322</t>
  </si>
  <si>
    <t>7322</t>
  </si>
  <si>
    <t>Будівництво1 медичних установ та закладів</t>
  </si>
  <si>
    <t>1917421</t>
  </si>
  <si>
    <t>7421</t>
  </si>
  <si>
    <t xml:space="preserve">Утримання та розвиток наземного електротранспорту </t>
  </si>
  <si>
    <t>у т.ч</t>
  </si>
  <si>
    <t>КП"Простір Інноваційних Креацій "Палац" (Потоцьких)</t>
  </si>
  <si>
    <t>Програма розвитку міжнародного і транскордонного співробітництва м. Івано-Франківська на 2018-2022 роки</t>
  </si>
  <si>
    <t>Комплексна  програма  сприяння залученню інвестицій в економіку м. Івано-Франківська на  2016 – 2020 роки в тому числі:</t>
  </si>
  <si>
    <t>Співфінансування проекту програми прикордонного співробітництва "Україна - Румунія"  "STEM- освіта у професійних училищах та спеціалізованих школах"</t>
  </si>
  <si>
    <t>Співфінансування проекту в рамках програми транскордонного співробітництва  Румунія - Україна 2014-2020р.р.  "Лікарні без інфекцій"</t>
  </si>
  <si>
    <t>1617691</t>
  </si>
  <si>
    <t>в тому числі за рахунок субвенції з обласного бюджету на виконання Програми розвитку місцевого самоврядування в Івано-Франківській області на 2016-2020 роки</t>
  </si>
  <si>
    <t>с. Чукалівка</t>
  </si>
  <si>
    <t>с. Вовчинець</t>
  </si>
  <si>
    <t>с. Крихівці</t>
  </si>
  <si>
    <t>с. Микитинці</t>
  </si>
  <si>
    <t>с. Угорники</t>
  </si>
  <si>
    <t>с. Хриплин</t>
  </si>
  <si>
    <t>с. Узин</t>
  </si>
  <si>
    <t>Будівництво1 інших об'єктів комунальної власності</t>
  </si>
  <si>
    <t>Проект "Безпечне майбутнє" в рамках програми транскордонного співробітництва Румунія - Україна 2014-2020 рр.</t>
  </si>
  <si>
    <t>6090</t>
  </si>
  <si>
    <t>0640</t>
  </si>
  <si>
    <t>1216090</t>
  </si>
  <si>
    <t>Інша діяльність у сфері житлово-комунального господарства</t>
  </si>
  <si>
    <t xml:space="preserve">Інша діяльність у сфері державного управління </t>
  </si>
  <si>
    <t>Додаток 3</t>
  </si>
  <si>
    <t>Співфінансування проекту в рамках  програми транскордонного співробітництва  Румунія - Україна 2014-2020  "Назад до наших спільних коренів"</t>
  </si>
  <si>
    <t>Програма розвитку місцевого самоврядування та громадянського суспільства в м.Івано-Франківську на 2020-2025 роки</t>
  </si>
  <si>
    <t>Програма "Духовне життя " на 2020-2025 роки</t>
  </si>
  <si>
    <t>Порограма розвитку електронного урядування у виконавчому комітеті Івано-Франківської міської ради на 2020-2021 роки</t>
  </si>
  <si>
    <t>Зміни, що вносяться</t>
  </si>
  <si>
    <t>споживання</t>
  </si>
  <si>
    <t>видатки споживання</t>
  </si>
  <si>
    <t>РАЗОМ  загальний і спеціальний фонди</t>
  </si>
  <si>
    <t>1217693</t>
  </si>
  <si>
    <t>0618311</t>
  </si>
  <si>
    <t>1518311</t>
  </si>
  <si>
    <t>Субвенція з с. Крихівці на утримання ГФ "Штаб"</t>
  </si>
  <si>
    <t>в тому числі:</t>
  </si>
  <si>
    <t>Підпрограма "Доступ громадян до публічної інформації органів місцевого самоврядування м.Івано-Франківська"</t>
  </si>
  <si>
    <t>газета "Західний кур’єр"</t>
  </si>
  <si>
    <t>Надання загальної середньої освіти закладами загальної сереньої освіти (у  тому числі  з дошкільними підрозділами ( відділеннями, групами)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</si>
  <si>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</si>
  <si>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Підготовка кадрів закладами професійної (професійно -технічної) освіти та іншими закладами освіти</t>
  </si>
  <si>
    <t>Методичне забезпечення діяльності  закладів освіти</t>
  </si>
  <si>
    <t>Надання спеціальної освіти мистецькими школами</t>
  </si>
  <si>
    <t xml:space="preserve">субвенція з с. Вовчинець </t>
  </si>
  <si>
    <t xml:space="preserve">субвенція з с. Крихівці </t>
  </si>
  <si>
    <t xml:space="preserve">субвенція з с. Микитинці </t>
  </si>
  <si>
    <t>субвенція з с. Угорники</t>
  </si>
  <si>
    <t>субвенція з с. Хриплин</t>
  </si>
  <si>
    <t>Субвенція м. Києву для встановлення пам’ятника І. Франку</t>
  </si>
  <si>
    <t>1517363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</si>
  <si>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</si>
  <si>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</si>
  <si>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1518312</t>
  </si>
  <si>
    <t>8312</t>
  </si>
  <si>
    <t>0512</t>
  </si>
  <si>
    <t>Утилізація відходів</t>
  </si>
  <si>
    <t>Затверджено з урахуванням змін</t>
  </si>
  <si>
    <t>у тому чяислі за рахунок сільских субвенцій</t>
  </si>
  <si>
    <t>субвенція с.Микитинці</t>
  </si>
  <si>
    <t>Утримання та забезпечення діяльності центрів  соціальних служб для сім'ї, дітей та молоді</t>
  </si>
  <si>
    <t>0217310</t>
  </si>
  <si>
    <t>в тому числі субвенція з с.Угринів</t>
  </si>
  <si>
    <t>в тому числіна здійснення переданих видатків у сфері освіти за рахунок коштів освітньої субвенції ( для приватних шкіл)</t>
  </si>
  <si>
    <t>Субвенція з с. Вовчинець на утримання ГФ "Штаб"</t>
  </si>
  <si>
    <t>Комплексна програма профілактики злочинності в місті до 2024 року</t>
  </si>
  <si>
    <t>0913140</t>
  </si>
  <si>
    <t>1013140</t>
  </si>
  <si>
    <t>Надання позашкільної освіти закладами позашкільної освіти, заходи із позашкільної роботи з дітьми</t>
  </si>
  <si>
    <t>1217340</t>
  </si>
  <si>
    <t>Субвенція на розвиток села Крилос Галицького району</t>
  </si>
  <si>
    <t>Субвенція районному бюджету Галицької районної ради на соціально-економічний розвиток району</t>
  </si>
  <si>
    <t>0813140</t>
  </si>
  <si>
    <t>1113140</t>
  </si>
  <si>
    <t>Субвенція Івано-Франківському обласному бюджету для співфінансування видатків на проведення поточного середнього ремонту автомобільної дороги загального користування державного значення Т-09-06 Івано-Франківськ-Надвірна на ділянці км 0+00 - 26+745</t>
  </si>
  <si>
    <t>Субвенція обласному бюджету для співфінансування  видатків на закупівлю сучасних меблів на забезпечення якісної, сучасної та доступної загальної середньої освіти «Нова українська школа»</t>
  </si>
  <si>
    <t>Субвенція обласному бюджету для співфінансування  видатків на закупівлю комп"ютерного обладнання на забезпечення якісної, сучасної та доступної загальної середньої освіти «Нова українська школа»</t>
  </si>
  <si>
    <t>Субвенція з с. Микитинці</t>
  </si>
  <si>
    <t>у тому числі  співфінансування з коштів бюджету Івано-Франківської міської ОТГ для створення навчально-практичних центрів</t>
  </si>
  <si>
    <r>
      <rPr>
        <sz val="9"/>
        <color theme="1"/>
        <rFont val="Times New Roman"/>
        <family val="1"/>
        <charset val="204"/>
      </rPr>
      <t>в т.ч. с</t>
    </r>
    <r>
      <rPr>
        <i/>
        <sz val="9"/>
        <color theme="1"/>
        <rFont val="Times New Roman"/>
        <family val="1"/>
        <charset val="204"/>
      </rPr>
      <t>убвенція з с. Братківці</t>
    </r>
  </si>
  <si>
    <r>
      <rPr>
        <sz val="9"/>
        <color theme="1"/>
        <rFont val="Times New Roman"/>
        <family val="1"/>
        <charset val="204"/>
      </rPr>
      <t>в т.ч. с</t>
    </r>
    <r>
      <rPr>
        <i/>
        <sz val="9"/>
        <color theme="1"/>
        <rFont val="Times New Roman"/>
        <family val="1"/>
        <charset val="204"/>
      </rPr>
      <t>убвенція з с. Узин</t>
    </r>
  </si>
  <si>
    <r>
      <rPr>
        <i/>
        <sz val="9"/>
        <color theme="1"/>
        <rFont val="Times New Roman"/>
        <family val="1"/>
        <charset val="204"/>
      </rPr>
      <t xml:space="preserve">у тому числі   </t>
    </r>
    <r>
      <rPr>
        <sz val="9"/>
        <color theme="1"/>
        <rFont val="Times New Roman"/>
        <family val="1"/>
        <charset val="204"/>
      </rPr>
      <t>Програма сталого енергетичного розвитку м. Івано-Франківська на період до 2020 р.</t>
    </r>
  </si>
  <si>
    <r>
      <rPr>
        <i/>
        <sz val="9"/>
        <color theme="1"/>
        <rFont val="Times New Roman"/>
        <family val="1"/>
        <charset val="204"/>
      </rPr>
      <t xml:space="preserve">у тому числі   </t>
    </r>
    <r>
      <rPr>
        <sz val="9"/>
        <color theme="1"/>
        <rFont val="Times New Roman"/>
        <family val="1"/>
        <charset val="204"/>
      </rPr>
      <t>Програма розвитку туристичної галузі м. Івано-Франківська на 2016-2020рр.</t>
    </r>
  </si>
  <si>
    <t>Розподіл видатків міського бюджету Івано- Франківської міської  об'єднаної територіальної громади на 2020 рік</t>
  </si>
  <si>
    <t>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</si>
  <si>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залишку коштів освітньої субвенції, що утворився на початок бюджетного періоду</t>
  </si>
  <si>
    <t>в т. ч. на реалізацію заходів, спрямованих на розвиток системи охорони здоров'я у сільській місцевості за рахунок відповідної субвенції з державного бюджету</t>
  </si>
  <si>
    <t>на реалізацію заходів, спрямованих на розвиток системи охорони здоров'я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</si>
  <si>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с. Крихівці</t>
  </si>
  <si>
    <t>Субвенція обласному бюджету для обласної інфекційної лікарні</t>
  </si>
  <si>
    <t>Програма "Духовне життя на 2020-2025 роки" в тому числі:</t>
  </si>
  <si>
    <t>Субвенція з обласного бюджету на виконання програми "Духовне життя на 2016-2020 роки"</t>
  </si>
  <si>
    <t>Субвенція з обласного на здійснення матеріально-технічної бази КНП «Центральна міська клінічна лікарня Івано-Франківської міської ради</t>
  </si>
  <si>
    <t>субвенція с.Хриплин</t>
  </si>
  <si>
    <t>0813221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</si>
  <si>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</si>
  <si>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</si>
  <si>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0813223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</si>
  <si>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</si>
  <si>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</si>
  <si>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Субвенція з с. Хриплин</t>
  </si>
  <si>
    <t>1617310</t>
  </si>
  <si>
    <t>1617330</t>
  </si>
  <si>
    <t xml:space="preserve">Субвенція обласному бюджету на нове будівництво навчально-виховного комплексу з використанням незавершеної будівництвом середньої школи на 11 класів в с. Чукалівка Тисменицького району Івано-Франківської області
</t>
  </si>
  <si>
    <t>Субвенція районному бюджету Галицької районної ради на фінансування місцевих регіональних програм</t>
  </si>
  <si>
    <t>Субвенція обласному бюджету на роботи по благоустрою на території Дем’яного лазу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</si>
  <si>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</si>
  <si>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0717369</t>
  </si>
  <si>
    <t>7369</t>
  </si>
  <si>
    <t>0710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</si>
  <si>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</si>
  <si>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</si>
  <si>
    <t>субвенція з обласного на відновлення питних джерел в історичному середмісті Івано-Франківська (Програма розвитку місцевого самоврядування в Івано-Франківській області на 2016-2020 роки)</t>
  </si>
  <si>
    <t>1216086</t>
  </si>
  <si>
    <t>1917691</t>
  </si>
  <si>
    <t>с. Тисменичани</t>
  </si>
  <si>
    <t>с. Камінне</t>
  </si>
  <si>
    <t>с. Радча</t>
  </si>
  <si>
    <t>Субвенція обласному бюджету на капітальний ремонт НВК по вул. Шевченка, 72 в с. Братківці Тисменицького району Івано-Франківської області</t>
  </si>
  <si>
    <t xml:space="preserve">субвенція з обласного бюджету для приватних шкіл </t>
  </si>
  <si>
    <t>1614082</t>
  </si>
  <si>
    <t>0210191</t>
  </si>
  <si>
    <t>0191</t>
  </si>
  <si>
    <t>Субвенція з державного бюджету на проведення місцевих виборів</t>
  </si>
  <si>
    <t>субвенція з місцевого бюджету на забезпечення подачею кисню ліжкового фонду закладів  охорони здоров’я, які надають стаціонарну медичну допомогу пацієнтам з гострою респіраторною хворобою COVID-19, спричиненою короновірусом  SARS-CoV-2, за рахунок  відповідної субвенції з державного бюджету</t>
  </si>
  <si>
    <t>Субвенція районному бюджету Тисменицької районної ради на фінансування навчально-виховного закладу в с. Братківці</t>
  </si>
  <si>
    <r>
      <rPr>
        <sz val="9"/>
        <color theme="1"/>
        <rFont val="Times New Roman"/>
        <family val="1"/>
        <charset val="204"/>
      </rPr>
      <t>в т.ч. с</t>
    </r>
    <r>
      <rPr>
        <i/>
        <sz val="9"/>
        <color theme="1"/>
        <rFont val="Times New Roman"/>
        <family val="1"/>
        <charset val="204"/>
      </rPr>
      <t>убвенція з с. Загвіздя</t>
    </r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</si>
  <si>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</si>
  <si>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</si>
  <si>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</si>
  <si>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r>
      <rPr>
        <sz val="9"/>
        <color theme="1"/>
        <rFont val="Times New Roman"/>
        <family val="1"/>
        <charset val="204"/>
      </rPr>
      <t>в т.ч. с</t>
    </r>
    <r>
      <rPr>
        <i/>
        <sz val="9"/>
        <color theme="1"/>
        <rFont val="Times New Roman"/>
        <family val="1"/>
        <charset val="204"/>
      </rPr>
      <t>убвенція з с. Угринів</t>
    </r>
  </si>
  <si>
    <t>в т.ч.</t>
  </si>
  <si>
    <t>Субвенція з місцевого бюджету на будівництво моста через річку Бистриця Солотвинська та транспортної розв'язки в районі вулиць Хіміків-Надрічна за рахунок відповідної субвенції з державного бюджету</t>
  </si>
  <si>
    <t>Секретар міської ради</t>
  </si>
  <si>
    <t>Віктор Синишин</t>
  </si>
  <si>
    <t>3719150</t>
  </si>
  <si>
    <t>9150</t>
  </si>
  <si>
    <t xml:space="preserve">Інші дотації з місцевого бюджету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</si>
</sst>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₴_-;\-* #,##0.00\ _₴_-;_-* &quot;-&quot;??\ _₴_-;_-@_-"/>
    <numFmt numFmtId="165" formatCode="_-* #,##0.00\ _₽_-;\-* #,##0.00\ _₽_-;_-* &quot;-&quot;??\ _₽_-;_-@_-"/>
    <numFmt numFmtId="166" formatCode="0000000"/>
    <numFmt numFmtId="167" formatCode="General_)"/>
    <numFmt numFmtId="168" formatCode="0.0"/>
    <numFmt numFmtId="169" formatCode="#,##0.0"/>
    <numFmt numFmtId="170" formatCode="0_ ;[Red]\-0\ "/>
  </numFmts>
  <fonts count="21" x14ac:knownFonts="1">
    <font>
      <sz val="8"/>
      <name val="Arial"/>
    </font>
    <font>
      <sz val="8"/>
      <name val="Arial"/>
      <family val="2"/>
    </font>
    <font>
      <sz val="12"/>
      <name val="Courier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imes New Roman Cyr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167" fontId="2" fillId="0" borderId="0"/>
    <xf numFmtId="0" fontId="1" fillId="0" borderId="0"/>
    <xf numFmtId="0" fontId="4" fillId="0" borderId="0"/>
    <xf numFmtId="0" fontId="6" fillId="0" borderId="0"/>
    <xf numFmtId="164" fontId="10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16" fillId="0" borderId="0"/>
    <xf numFmtId="0" fontId="3" fillId="0" borderId="0"/>
  </cellStyleXfs>
  <cellXfs count="107">
    <xf numFmtId="0" fontId="0" fillId="0" borderId="0" xfId="0"/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left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49" fontId="7" fillId="2" borderId="1" xfId="0" applyNumberFormat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horizontal="left"/>
    </xf>
    <xf numFmtId="167" fontId="7" fillId="2" borderId="0" xfId="0" applyNumberFormat="1" applyFont="1" applyFill="1" applyAlignment="1">
      <alignment horizontal="left"/>
    </xf>
    <xf numFmtId="170" fontId="7" fillId="2" borderId="0" xfId="0" applyNumberFormat="1" applyFont="1" applyFill="1" applyAlignment="1">
      <alignment horizontal="left"/>
    </xf>
    <xf numFmtId="0" fontId="15" fillId="2" borderId="1" xfId="0" applyFont="1" applyFill="1" applyBorder="1" applyAlignment="1">
      <alignment horizontal="left" vertical="center" wrapText="1"/>
    </xf>
    <xf numFmtId="169" fontId="13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 vertical="center"/>
    </xf>
    <xf numFmtId="49" fontId="7" fillId="2" borderId="5" xfId="0" applyNumberFormat="1" applyFont="1" applyFill="1" applyBorder="1" applyAlignment="1">
      <alignment horizontal="center" vertical="center"/>
    </xf>
    <xf numFmtId="167" fontId="7" fillId="2" borderId="2" xfId="2" applyFont="1" applyFill="1" applyBorder="1" applyAlignment="1" applyProtection="1">
      <alignment horizontal="left" vertical="center" wrapText="1"/>
    </xf>
    <xf numFmtId="49" fontId="17" fillId="2" borderId="5" xfId="10" applyNumberFormat="1" applyFont="1" applyFill="1" applyBorder="1" applyAlignment="1">
      <alignment horizontal="center" vertical="center"/>
    </xf>
    <xf numFmtId="49" fontId="17" fillId="2" borderId="1" xfId="10" applyNumberFormat="1" applyFont="1" applyFill="1" applyBorder="1" applyAlignment="1">
      <alignment horizontal="center" vertical="center" wrapText="1"/>
    </xf>
    <xf numFmtId="0" fontId="17" fillId="2" borderId="2" xfId="1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 shrinkToFit="1"/>
    </xf>
    <xf numFmtId="49" fontId="7" fillId="2" borderId="3" xfId="0" applyNumberFormat="1" applyFont="1" applyFill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49" fontId="7" fillId="2" borderId="1" xfId="0" applyNumberFormat="1" applyFont="1" applyFill="1" applyBorder="1" applyAlignment="1">
      <alignment wrapText="1" shrinkToFit="1"/>
    </xf>
    <xf numFmtId="0" fontId="12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3" fontId="8" fillId="2" borderId="0" xfId="0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3" fontId="8" fillId="2" borderId="0" xfId="0" applyNumberFormat="1" applyFont="1" applyFill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3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top"/>
    </xf>
    <xf numFmtId="168" fontId="8" fillId="2" borderId="0" xfId="0" applyNumberFormat="1" applyFont="1" applyFill="1" applyBorder="1" applyAlignment="1">
      <alignment horizontal="left" vertical="top"/>
    </xf>
    <xf numFmtId="1" fontId="8" fillId="2" borderId="0" xfId="0" applyNumberFormat="1" applyFont="1" applyFill="1" applyBorder="1" applyAlignment="1">
      <alignment horizontal="left" vertical="top"/>
    </xf>
    <xf numFmtId="3" fontId="8" fillId="2" borderId="0" xfId="0" applyNumberFormat="1" applyFont="1" applyFill="1" applyBorder="1" applyAlignment="1">
      <alignment horizontal="left" vertical="top"/>
    </xf>
    <xf numFmtId="0" fontId="9" fillId="2" borderId="0" xfId="0" applyFont="1" applyFill="1" applyAlignment="1">
      <alignment vertical="top" wrapText="1"/>
    </xf>
    <xf numFmtId="164" fontId="8" fillId="2" borderId="0" xfId="6" applyFont="1" applyFill="1" applyAlignment="1">
      <alignment horizontal="center" vertical="center"/>
    </xf>
    <xf numFmtId="0" fontId="8" fillId="2" borderId="0" xfId="0" applyFont="1" applyFill="1"/>
    <xf numFmtId="3" fontId="8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Alignment="1">
      <alignment vertical="top"/>
    </xf>
    <xf numFmtId="3" fontId="14" fillId="2" borderId="0" xfId="0" applyNumberFormat="1" applyFont="1" applyFill="1" applyAlignment="1">
      <alignment wrapText="1"/>
    </xf>
    <xf numFmtId="164" fontId="8" fillId="2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top"/>
    </xf>
    <xf numFmtId="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top" wrapText="1"/>
    </xf>
    <xf numFmtId="164" fontId="8" fillId="2" borderId="0" xfId="6" applyFont="1" applyFill="1" applyBorder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3" fontId="9" fillId="2" borderId="0" xfId="0" applyNumberFormat="1" applyFont="1" applyFill="1" applyAlignment="1">
      <alignment horizontal="left" vertical="top"/>
    </xf>
    <xf numFmtId="4" fontId="8" fillId="2" borderId="0" xfId="0" applyNumberFormat="1" applyFont="1" applyFill="1" applyAlignment="1">
      <alignment horizontal="left" vertical="top"/>
    </xf>
    <xf numFmtId="3" fontId="8" fillId="2" borderId="0" xfId="0" applyNumberFormat="1" applyFont="1" applyFill="1" applyAlignment="1">
      <alignment horizontal="left" vertical="top"/>
    </xf>
    <xf numFmtId="166" fontId="13" fillId="2" borderId="1" xfId="0" applyNumberFormat="1" applyFont="1" applyFill="1" applyBorder="1" applyAlignment="1">
      <alignment horizontal="center" vertical="center"/>
    </xf>
    <xf numFmtId="0" fontId="15" fillId="2" borderId="2" xfId="7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15" fillId="2" borderId="2" xfId="0" applyNumberFormat="1" applyFont="1" applyFill="1" applyBorder="1" applyAlignment="1">
      <alignment horizontal="left" vertical="center" wrapText="1"/>
    </xf>
    <xf numFmtId="168" fontId="7" fillId="2" borderId="1" xfId="4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center" wrapText="1"/>
    </xf>
    <xf numFmtId="167" fontId="7" fillId="2" borderId="1" xfId="2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>
      <alignment horizontal="left" vertical="top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justify" vertical="top" wrapText="1"/>
    </xf>
    <xf numFmtId="49" fontId="7" fillId="2" borderId="1" xfId="0" applyNumberFormat="1" applyFont="1" applyFill="1" applyBorder="1" applyAlignment="1">
      <alignment vertical="center" wrapText="1"/>
    </xf>
    <xf numFmtId="49" fontId="15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1" fontId="13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3" applyNumberFormat="1" applyFont="1" applyFill="1" applyBorder="1" applyAlignment="1">
      <alignment horizontal="left" vertical="center" wrapText="1"/>
    </xf>
    <xf numFmtId="49" fontId="18" fillId="2" borderId="1" xfId="10" applyNumberFormat="1" applyFont="1" applyFill="1" applyBorder="1" applyAlignment="1">
      <alignment horizontal="center" vertical="center" wrapText="1"/>
    </xf>
    <xf numFmtId="0" fontId="18" fillId="2" borderId="1" xfId="1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19" fillId="2" borderId="0" xfId="0" applyFont="1" applyFill="1"/>
    <xf numFmtId="0" fontId="20" fillId="2" borderId="0" xfId="0" applyFont="1" applyFill="1"/>
    <xf numFmtId="0" fontId="12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169" fontId="12" fillId="2" borderId="1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left" vertical="center" wrapText="1"/>
    </xf>
    <xf numFmtId="169" fontId="7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 shrinkToFit="1"/>
    </xf>
    <xf numFmtId="49" fontId="7" fillId="2" borderId="1" xfId="5" applyNumberFormat="1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right" vertical="center"/>
    </xf>
    <xf numFmtId="169" fontId="12" fillId="2" borderId="1" xfId="0" applyNumberFormat="1" applyFont="1" applyFill="1" applyBorder="1" applyAlignment="1">
      <alignment horizontal="center" vertical="center"/>
    </xf>
  </cellXfs>
  <cellStyles count="11">
    <cellStyle name="Звичайний 2" xfId="7"/>
    <cellStyle name="Обычный" xfId="0" builtinId="0"/>
    <cellStyle name="Обычный 2" xfId="10"/>
    <cellStyle name="Обычный 3" xfId="1"/>
    <cellStyle name="Обычный 4" xfId="9"/>
    <cellStyle name="Обычный_osvita" xfId="2"/>
    <cellStyle name="Обычный_TDSheet" xfId="3"/>
    <cellStyle name="Обычный_Лист1" xfId="5"/>
    <cellStyle name="Стиль 1" xfId="4"/>
    <cellStyle name="Финансовый" xfId="6" builtinId="3"/>
    <cellStyle name="Фінансовий 2" xfId="8"/>
  </cellStyles>
  <dxfs count="0"/>
  <tableStyles count="0" defaultTableStyle="TableStyleMedium9" defaultPivotStyle="PivotStyleLight16"/>
  <colors>
    <mruColors>
      <color rgb="FFFF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U364"/>
  <sheetViews>
    <sheetView showZeros="0" tabSelected="1" zoomScale="80" zoomScaleNormal="80" zoomScaleSheetLayoutView="95" workbookViewId="0">
      <pane xSplit="4" ySplit="9" topLeftCell="E317" activePane="bottomRight" state="frozen"/>
      <selection pane="topRight" activeCell="E1" sqref="E1"/>
      <selection pane="bottomLeft" activeCell="A10" sqref="A10"/>
      <selection pane="bottomRight" activeCell="N235" sqref="N235"/>
    </sheetView>
  </sheetViews>
  <sheetFormatPr defaultColWidth="9.33203125" defaultRowHeight="11.45" customHeight="1" x14ac:dyDescent="0.2"/>
  <cols>
    <col min="1" max="1" width="15.33203125" style="5" customWidth="1"/>
    <col min="2" max="3" width="15.33203125" style="8" customWidth="1"/>
    <col min="4" max="4" width="48.6640625" style="59" customWidth="1"/>
    <col min="5" max="6" width="18.6640625" style="59" customWidth="1"/>
    <col min="7" max="7" width="17.5" style="59" customWidth="1"/>
    <col min="8" max="8" width="15.83203125" style="59" customWidth="1"/>
    <col min="9" max="9" width="17.6640625" style="59" customWidth="1"/>
    <col min="10" max="15" width="15.83203125" style="59" customWidth="1"/>
    <col min="16" max="16" width="15.83203125" style="5" customWidth="1"/>
    <col min="17" max="17" width="16.1640625" style="5" customWidth="1"/>
    <col min="18" max="18" width="20.1640625" style="5" customWidth="1"/>
    <col min="19" max="19" width="19.1640625" style="50" customWidth="1"/>
    <col min="20" max="16384" width="9.33203125" style="50"/>
  </cols>
  <sheetData>
    <row r="1" spans="1:18" s="6" customFormat="1" ht="18.95" customHeight="1" x14ac:dyDescent="0.2">
      <c r="A1" s="5"/>
      <c r="B1" s="97" t="s">
        <v>515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P1" s="7"/>
      <c r="Q1" s="5"/>
      <c r="R1" s="5"/>
    </row>
    <row r="2" spans="1:18" s="6" customFormat="1" ht="18.95" customHeight="1" x14ac:dyDescent="0.2">
      <c r="A2" s="5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P2" s="7"/>
      <c r="Q2" s="6" t="s">
        <v>455</v>
      </c>
      <c r="R2" s="5"/>
    </row>
    <row r="3" spans="1:18" s="6" customFormat="1" ht="11.1" customHeight="1" x14ac:dyDescent="0.2">
      <c r="A3" s="5"/>
      <c r="B3" s="8"/>
      <c r="C3" s="8"/>
      <c r="P3" s="6" t="s">
        <v>405</v>
      </c>
      <c r="R3" s="5"/>
    </row>
    <row r="4" spans="1:18" s="6" customFormat="1" ht="11.1" customHeight="1" x14ac:dyDescent="0.2">
      <c r="A4" s="5"/>
      <c r="B4" s="8"/>
      <c r="C4" s="8"/>
      <c r="N4" s="99"/>
      <c r="O4" s="99"/>
      <c r="P4" s="99" t="s">
        <v>404</v>
      </c>
      <c r="Q4" s="99"/>
      <c r="R4" s="5"/>
    </row>
    <row r="5" spans="1:18" s="6" customFormat="1" ht="23.25" customHeight="1" x14ac:dyDescent="0.2">
      <c r="A5" s="100"/>
      <c r="B5" s="100"/>
      <c r="C5" s="103"/>
      <c r="D5" s="104"/>
      <c r="R5" s="5" t="s">
        <v>0</v>
      </c>
    </row>
    <row r="6" spans="1:18" s="9" customFormat="1" ht="25.5" customHeight="1" x14ac:dyDescent="0.2">
      <c r="A6" s="98" t="s">
        <v>354</v>
      </c>
      <c r="B6" s="101" t="s">
        <v>355</v>
      </c>
      <c r="C6" s="101" t="s">
        <v>356</v>
      </c>
      <c r="D6" s="102" t="s">
        <v>421</v>
      </c>
      <c r="E6" s="98" t="s">
        <v>357</v>
      </c>
      <c r="F6" s="98"/>
      <c r="G6" s="98"/>
      <c r="H6" s="98"/>
      <c r="I6" s="98"/>
      <c r="J6" s="98" t="s">
        <v>358</v>
      </c>
      <c r="K6" s="98"/>
      <c r="L6" s="98"/>
      <c r="M6" s="98"/>
      <c r="N6" s="98"/>
      <c r="O6" s="98"/>
      <c r="P6" s="98" t="s">
        <v>463</v>
      </c>
      <c r="Q6" s="98"/>
      <c r="R6" s="98"/>
    </row>
    <row r="7" spans="1:18" s="9" customFormat="1" ht="25.5" customHeight="1" x14ac:dyDescent="0.2">
      <c r="A7" s="98"/>
      <c r="B7" s="101"/>
      <c r="C7" s="101"/>
      <c r="D7" s="102"/>
      <c r="E7" s="98" t="s">
        <v>489</v>
      </c>
      <c r="F7" s="106" t="s">
        <v>460</v>
      </c>
      <c r="G7" s="106"/>
      <c r="H7" s="91"/>
      <c r="I7" s="98" t="s">
        <v>489</v>
      </c>
      <c r="J7" s="98" t="s">
        <v>489</v>
      </c>
      <c r="K7" s="98" t="s">
        <v>460</v>
      </c>
      <c r="L7" s="98"/>
      <c r="M7" s="98"/>
      <c r="N7" s="98"/>
      <c r="O7" s="98" t="s">
        <v>489</v>
      </c>
      <c r="P7" s="98"/>
      <c r="Q7" s="98"/>
      <c r="R7" s="98"/>
    </row>
    <row r="8" spans="1:18" s="9" customFormat="1" ht="12.75" x14ac:dyDescent="0.2">
      <c r="A8" s="98"/>
      <c r="B8" s="101"/>
      <c r="C8" s="101"/>
      <c r="D8" s="102"/>
      <c r="E8" s="98"/>
      <c r="F8" s="98" t="s">
        <v>1</v>
      </c>
      <c r="G8" s="98" t="s">
        <v>461</v>
      </c>
      <c r="H8" s="98" t="s">
        <v>70</v>
      </c>
      <c r="I8" s="98"/>
      <c r="J8" s="98"/>
      <c r="K8" s="98" t="s">
        <v>1</v>
      </c>
      <c r="L8" s="98" t="s">
        <v>353</v>
      </c>
      <c r="M8" s="98" t="s">
        <v>462</v>
      </c>
      <c r="N8" s="98" t="s">
        <v>70</v>
      </c>
      <c r="O8" s="98"/>
      <c r="P8" s="98"/>
      <c r="Q8" s="98"/>
      <c r="R8" s="98"/>
    </row>
    <row r="9" spans="1:18" s="9" customFormat="1" ht="51" customHeight="1" x14ac:dyDescent="0.2">
      <c r="A9" s="98"/>
      <c r="B9" s="101"/>
      <c r="C9" s="101"/>
      <c r="D9" s="102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89" t="s">
        <v>489</v>
      </c>
      <c r="Q9" s="89" t="s">
        <v>460</v>
      </c>
      <c r="R9" s="89" t="s">
        <v>489</v>
      </c>
    </row>
    <row r="10" spans="1:18" s="13" customFormat="1" ht="24" x14ac:dyDescent="0.2">
      <c r="A10" s="63">
        <v>200000</v>
      </c>
      <c r="B10" s="10"/>
      <c r="C10" s="10"/>
      <c r="D10" s="11" t="s">
        <v>2</v>
      </c>
      <c r="E10" s="12">
        <f>E12+E16+E27+E28+E31+E32+E39+E40+E44+E51+E54+E57</f>
        <v>99452647</v>
      </c>
      <c r="F10" s="12">
        <f>F12+F16+F27+F28+F31+F32+F39+F40+F44+F51+F54+F57</f>
        <v>4111084</v>
      </c>
      <c r="G10" s="12">
        <f>G12+G16+G27+G28+G31+G32+G39+G40+G44+G51+G54+G57</f>
        <v>4111084</v>
      </c>
      <c r="H10" s="12">
        <f t="shared" ref="H10" si="0">H12+H16+H27+H28+H31+H32+H39+H40+H44+H51+H54+H57</f>
        <v>0</v>
      </c>
      <c r="I10" s="12">
        <f>I12+I16+I27+I28+I31+I32+I39+I40+I44+I51+I54+I57</f>
        <v>103612731</v>
      </c>
      <c r="J10" s="12">
        <f>J12+J13+J16+J28+J31+J40+J44+J51+J54+J30+J29+J32</f>
        <v>7354644</v>
      </c>
      <c r="K10" s="12">
        <f>K12+K13+K16+K28+K31+K40+K44+K51+K54+K30+K29+K32</f>
        <v>-833434</v>
      </c>
      <c r="L10" s="12">
        <f>L12+L13+L16+L28+L31+L40+L44+L51+L54+L30+L29+L32</f>
        <v>-833434</v>
      </c>
      <c r="M10" s="12">
        <f t="shared" ref="M10:N10" si="1">M12+M13+M16+M28+M31+M40+M44+M51+M54+M30+M29+M32</f>
        <v>0</v>
      </c>
      <c r="N10" s="12">
        <f t="shared" si="1"/>
        <v>-833434</v>
      </c>
      <c r="O10" s="12">
        <f>O12+O16+O28+O31+O40+O44+O51+O54+O30+O29+O32</f>
        <v>6521210</v>
      </c>
      <c r="P10" s="12">
        <f>E10+J10</f>
        <v>106807291</v>
      </c>
      <c r="Q10" s="12">
        <f>F10+K10</f>
        <v>3277650</v>
      </c>
      <c r="R10" s="12">
        <f>I10+O10</f>
        <v>110133941</v>
      </c>
    </row>
    <row r="11" spans="1:18" s="13" customFormat="1" ht="24" x14ac:dyDescent="0.2">
      <c r="A11" s="63">
        <v>210000</v>
      </c>
      <c r="B11" s="10"/>
      <c r="C11" s="10"/>
      <c r="D11" s="11" t="s">
        <v>2</v>
      </c>
      <c r="E11" s="12"/>
      <c r="F11" s="12"/>
      <c r="G11" s="12"/>
      <c r="H11" s="12"/>
      <c r="I11" s="12"/>
      <c r="J11" s="4"/>
      <c r="K11" s="4"/>
      <c r="L11" s="12"/>
      <c r="M11" s="12"/>
      <c r="N11" s="12"/>
      <c r="O11" s="12"/>
      <c r="P11" s="12"/>
      <c r="Q11" s="4"/>
      <c r="R11" s="4"/>
    </row>
    <row r="12" spans="1:18" s="14" customFormat="1" ht="24" x14ac:dyDescent="0.2">
      <c r="A12" s="1" t="s">
        <v>265</v>
      </c>
      <c r="B12" s="2" t="s">
        <v>81</v>
      </c>
      <c r="C12" s="2" t="s">
        <v>34</v>
      </c>
      <c r="D12" s="3" t="s">
        <v>333</v>
      </c>
      <c r="E12" s="4">
        <v>61125968</v>
      </c>
      <c r="F12" s="4">
        <f>G12</f>
        <v>6062565</v>
      </c>
      <c r="G12" s="4">
        <f>49990-69500+64504+183500+180900+216000+10550+2000000+10300+49900+400000+259121+2510500+41200+155600</f>
        <v>6062565</v>
      </c>
      <c r="H12" s="4"/>
      <c r="I12" s="4">
        <f>E12+F12</f>
        <v>67188533</v>
      </c>
      <c r="J12" s="4">
        <v>1093582</v>
      </c>
      <c r="K12" s="4">
        <f>M12+N12</f>
        <v>92966</v>
      </c>
      <c r="L12" s="4">
        <f>34467+14500+16029+27970</f>
        <v>92966</v>
      </c>
      <c r="M12" s="4"/>
      <c r="N12" s="4">
        <f>34467+14500+16029+27970</f>
        <v>92966</v>
      </c>
      <c r="O12" s="4">
        <f>J12+K12</f>
        <v>1186548</v>
      </c>
      <c r="P12" s="4">
        <f t="shared" ref="P12:P99" si="2">E12+J12</f>
        <v>62219550</v>
      </c>
      <c r="Q12" s="4">
        <f t="shared" ref="Q12:Q99" si="3">F12+K12</f>
        <v>6155531</v>
      </c>
      <c r="R12" s="4">
        <f t="shared" ref="R12:R99" si="4">I12+O12</f>
        <v>68375081</v>
      </c>
    </row>
    <row r="13" spans="1:18" s="14" customFormat="1" ht="12" x14ac:dyDescent="0.2">
      <c r="A13" s="1"/>
      <c r="B13" s="2"/>
      <c r="C13" s="2"/>
      <c r="D13" s="64" t="s">
        <v>511</v>
      </c>
      <c r="E13" s="4">
        <v>224700</v>
      </c>
      <c r="F13" s="4">
        <f>G13</f>
        <v>0</v>
      </c>
      <c r="G13" s="4"/>
      <c r="H13" s="4"/>
      <c r="I13" s="4">
        <f>E13+F13</f>
        <v>224700</v>
      </c>
      <c r="J13" s="4">
        <v>0</v>
      </c>
      <c r="K13" s="4">
        <f t="shared" ref="K13" si="5">M13+N13</f>
        <v>0</v>
      </c>
      <c r="L13" s="4"/>
      <c r="M13" s="4"/>
      <c r="N13" s="4"/>
      <c r="O13" s="4">
        <f t="shared" ref="O13" si="6">J13+K13</f>
        <v>0</v>
      </c>
      <c r="P13" s="4">
        <f t="shared" si="2"/>
        <v>224700</v>
      </c>
      <c r="Q13" s="4">
        <f t="shared" si="3"/>
        <v>0</v>
      </c>
      <c r="R13" s="4">
        <f>I13+O13</f>
        <v>224700</v>
      </c>
    </row>
    <row r="14" spans="1:18" s="14" customFormat="1" ht="12" x14ac:dyDescent="0.2">
      <c r="A14" s="1"/>
      <c r="B14" s="2"/>
      <c r="C14" s="2"/>
      <c r="D14" s="64" t="s">
        <v>512</v>
      </c>
      <c r="E14" s="4">
        <v>250100</v>
      </c>
      <c r="F14" s="4"/>
      <c r="G14" s="4"/>
      <c r="H14" s="4"/>
      <c r="I14" s="4">
        <f>E14+F14</f>
        <v>250100</v>
      </c>
      <c r="J14" s="4"/>
      <c r="K14" s="4"/>
      <c r="L14" s="4"/>
      <c r="M14" s="4"/>
      <c r="N14" s="4"/>
      <c r="O14" s="4"/>
      <c r="P14" s="4">
        <f t="shared" si="2"/>
        <v>250100</v>
      </c>
      <c r="Q14" s="4"/>
      <c r="R14" s="4">
        <f>I14+O14</f>
        <v>250100</v>
      </c>
    </row>
    <row r="15" spans="1:18" s="14" customFormat="1" ht="12" hidden="1" x14ac:dyDescent="0.2">
      <c r="A15" s="1"/>
      <c r="B15" s="2"/>
      <c r="C15" s="2"/>
      <c r="D15" s="1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2"/>
        <v>0</v>
      </c>
      <c r="Q15" s="4"/>
      <c r="R15" s="4"/>
    </row>
    <row r="16" spans="1:18" s="14" customFormat="1" ht="12" x14ac:dyDescent="0.2">
      <c r="A16" s="1" t="s">
        <v>197</v>
      </c>
      <c r="B16" s="2" t="s">
        <v>21</v>
      </c>
      <c r="C16" s="2" t="s">
        <v>24</v>
      </c>
      <c r="D16" s="3" t="s">
        <v>198</v>
      </c>
      <c r="E16" s="4">
        <f t="shared" ref="E16:H16" si="7">SUM(E18:E26)-E23</f>
        <v>6280365</v>
      </c>
      <c r="F16" s="4">
        <f t="shared" ref="F16:F39" si="8">G16</f>
        <v>-2022681</v>
      </c>
      <c r="G16" s="4">
        <f t="shared" si="7"/>
        <v>-2022681</v>
      </c>
      <c r="H16" s="4">
        <f t="shared" si="7"/>
        <v>0</v>
      </c>
      <c r="I16" s="4">
        <f>SUM(I18:I26)-I23</f>
        <v>4257684</v>
      </c>
      <c r="J16" s="4">
        <v>543029</v>
      </c>
      <c r="K16" s="4">
        <f t="shared" ref="K16:N16" si="9">SUM(K17:K26)</f>
        <v>0</v>
      </c>
      <c r="L16" s="4">
        <f>SUM(L17:L26)</f>
        <v>0</v>
      </c>
      <c r="M16" s="4">
        <f t="shared" si="9"/>
        <v>0</v>
      </c>
      <c r="N16" s="4">
        <f t="shared" si="9"/>
        <v>0</v>
      </c>
      <c r="O16" s="4">
        <f>SUM(O17:O26)</f>
        <v>543029</v>
      </c>
      <c r="P16" s="4">
        <f t="shared" si="2"/>
        <v>6823394</v>
      </c>
      <c r="Q16" s="4">
        <f t="shared" si="3"/>
        <v>-2022681</v>
      </c>
      <c r="R16" s="4">
        <f t="shared" si="4"/>
        <v>4800713</v>
      </c>
    </row>
    <row r="17" spans="1:18" s="14" customFormat="1" ht="12" x14ac:dyDescent="0.2">
      <c r="A17" s="1"/>
      <c r="B17" s="2"/>
      <c r="C17" s="2"/>
      <c r="D17" s="3" t="s">
        <v>214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2"/>
        <v>0</v>
      </c>
      <c r="Q17" s="4">
        <f t="shared" si="3"/>
        <v>0</v>
      </c>
      <c r="R17" s="4">
        <f t="shared" si="4"/>
        <v>0</v>
      </c>
    </row>
    <row r="18" spans="1:18" s="14" customFormat="1" ht="12" x14ac:dyDescent="0.2">
      <c r="A18" s="1"/>
      <c r="B18" s="2"/>
      <c r="C18" s="2"/>
      <c r="D18" s="15" t="s">
        <v>57</v>
      </c>
      <c r="E18" s="4">
        <v>726000</v>
      </c>
      <c r="F18" s="4">
        <f t="shared" si="8"/>
        <v>-464461</v>
      </c>
      <c r="G18" s="4">
        <f>-400000-64461</f>
        <v>-464461</v>
      </c>
      <c r="H18" s="4"/>
      <c r="I18" s="4">
        <f t="shared" ref="I18:I39" si="10">E18+F18</f>
        <v>261539</v>
      </c>
      <c r="J18" s="4">
        <v>0</v>
      </c>
      <c r="K18" s="4">
        <f t="shared" ref="K18:K57" si="11">M18+N18</f>
        <v>0</v>
      </c>
      <c r="L18" s="4"/>
      <c r="M18" s="4"/>
      <c r="N18" s="4"/>
      <c r="O18" s="4">
        <f t="shared" ref="O18:O57" si="12">J18+K18</f>
        <v>0</v>
      </c>
      <c r="P18" s="4">
        <f t="shared" si="2"/>
        <v>726000</v>
      </c>
      <c r="Q18" s="4">
        <f t="shared" si="3"/>
        <v>-464461</v>
      </c>
      <c r="R18" s="4">
        <f t="shared" si="4"/>
        <v>261539</v>
      </c>
    </row>
    <row r="19" spans="1:18" s="14" customFormat="1" ht="12" x14ac:dyDescent="0.2">
      <c r="A19" s="1"/>
      <c r="B19" s="2"/>
      <c r="C19" s="2"/>
      <c r="D19" s="15" t="s">
        <v>58</v>
      </c>
      <c r="E19" s="4">
        <v>425500</v>
      </c>
      <c r="F19" s="4">
        <f t="shared" si="8"/>
        <v>0</v>
      </c>
      <c r="G19" s="4"/>
      <c r="H19" s="4"/>
      <c r="I19" s="4">
        <f t="shared" si="10"/>
        <v>425500</v>
      </c>
      <c r="J19" s="4">
        <v>0</v>
      </c>
      <c r="K19" s="4">
        <f t="shared" si="11"/>
        <v>0</v>
      </c>
      <c r="L19" s="4"/>
      <c r="M19" s="4"/>
      <c r="N19" s="4"/>
      <c r="O19" s="4">
        <f t="shared" si="12"/>
        <v>0</v>
      </c>
      <c r="P19" s="4">
        <f t="shared" si="2"/>
        <v>425500</v>
      </c>
      <c r="Q19" s="4">
        <f t="shared" si="3"/>
        <v>0</v>
      </c>
      <c r="R19" s="4">
        <f t="shared" si="4"/>
        <v>425500</v>
      </c>
    </row>
    <row r="20" spans="1:18" s="14" customFormat="1" ht="24" x14ac:dyDescent="0.2">
      <c r="A20" s="1"/>
      <c r="B20" s="2"/>
      <c r="C20" s="2"/>
      <c r="D20" s="15" t="s">
        <v>213</v>
      </c>
      <c r="E20" s="4">
        <v>150010</v>
      </c>
      <c r="F20" s="4">
        <f t="shared" si="8"/>
        <v>0</v>
      </c>
      <c r="G20" s="4"/>
      <c r="H20" s="4"/>
      <c r="I20" s="4">
        <f t="shared" si="10"/>
        <v>150010</v>
      </c>
      <c r="J20" s="4">
        <v>0</v>
      </c>
      <c r="K20" s="4">
        <f t="shared" si="11"/>
        <v>0</v>
      </c>
      <c r="L20" s="4"/>
      <c r="M20" s="4"/>
      <c r="N20" s="4"/>
      <c r="O20" s="4">
        <f t="shared" si="12"/>
        <v>0</v>
      </c>
      <c r="P20" s="4">
        <f t="shared" si="2"/>
        <v>150010</v>
      </c>
      <c r="Q20" s="4">
        <f t="shared" si="3"/>
        <v>0</v>
      </c>
      <c r="R20" s="4">
        <f t="shared" si="4"/>
        <v>150010</v>
      </c>
    </row>
    <row r="21" spans="1:18" s="14" customFormat="1" ht="48" x14ac:dyDescent="0.2">
      <c r="A21" s="1"/>
      <c r="B21" s="2"/>
      <c r="C21" s="2"/>
      <c r="D21" s="15" t="s">
        <v>399</v>
      </c>
      <c r="E21" s="4">
        <v>1646180</v>
      </c>
      <c r="F21" s="4">
        <f t="shared" si="8"/>
        <v>202580</v>
      </c>
      <c r="G21" s="4">
        <f>102790+99790</f>
        <v>202580</v>
      </c>
      <c r="H21" s="4"/>
      <c r="I21" s="4">
        <f t="shared" si="10"/>
        <v>1848760</v>
      </c>
      <c r="J21" s="4">
        <v>0</v>
      </c>
      <c r="K21" s="4">
        <f t="shared" si="11"/>
        <v>0</v>
      </c>
      <c r="L21" s="4"/>
      <c r="M21" s="4"/>
      <c r="N21" s="4"/>
      <c r="O21" s="4">
        <f t="shared" si="12"/>
        <v>0</v>
      </c>
      <c r="P21" s="4">
        <f t="shared" si="2"/>
        <v>1646180</v>
      </c>
      <c r="Q21" s="4">
        <f t="shared" si="3"/>
        <v>202580</v>
      </c>
      <c r="R21" s="4">
        <f t="shared" si="4"/>
        <v>1848760</v>
      </c>
    </row>
    <row r="22" spans="1:18" s="14" customFormat="1" ht="24" x14ac:dyDescent="0.2">
      <c r="A22" s="1"/>
      <c r="B22" s="2"/>
      <c r="C22" s="2"/>
      <c r="D22" s="65" t="s">
        <v>522</v>
      </c>
      <c r="E22" s="4">
        <v>961000</v>
      </c>
      <c r="F22" s="4">
        <f t="shared" si="8"/>
        <v>30000</v>
      </c>
      <c r="G22" s="4">
        <v>30000</v>
      </c>
      <c r="H22" s="4"/>
      <c r="I22" s="4">
        <f t="shared" si="10"/>
        <v>991000</v>
      </c>
      <c r="J22" s="4">
        <v>0</v>
      </c>
      <c r="K22" s="4">
        <f>M22+N22</f>
        <v>0</v>
      </c>
      <c r="L22" s="4"/>
      <c r="M22" s="4"/>
      <c r="N22" s="4"/>
      <c r="O22" s="4">
        <f t="shared" si="12"/>
        <v>0</v>
      </c>
      <c r="P22" s="4">
        <f t="shared" si="2"/>
        <v>961000</v>
      </c>
      <c r="Q22" s="4">
        <f t="shared" si="3"/>
        <v>30000</v>
      </c>
      <c r="R22" s="4">
        <f t="shared" si="4"/>
        <v>991000</v>
      </c>
    </row>
    <row r="23" spans="1:18" s="14" customFormat="1" ht="24" x14ac:dyDescent="0.2">
      <c r="A23" s="1"/>
      <c r="B23" s="2"/>
      <c r="C23" s="2"/>
      <c r="D23" s="66" t="s">
        <v>523</v>
      </c>
      <c r="E23" s="4">
        <v>248000</v>
      </c>
      <c r="F23" s="4">
        <f t="shared" si="8"/>
        <v>0</v>
      </c>
      <c r="G23" s="4"/>
      <c r="H23" s="4"/>
      <c r="I23" s="4">
        <f t="shared" si="10"/>
        <v>248000</v>
      </c>
      <c r="J23" s="4"/>
      <c r="K23" s="4"/>
      <c r="L23" s="4"/>
      <c r="M23" s="4"/>
      <c r="N23" s="4"/>
      <c r="O23" s="4"/>
      <c r="P23" s="4">
        <f t="shared" si="2"/>
        <v>248000</v>
      </c>
      <c r="Q23" s="4">
        <f t="shared" si="3"/>
        <v>0</v>
      </c>
      <c r="R23" s="4">
        <f t="shared" si="4"/>
        <v>248000</v>
      </c>
    </row>
    <row r="24" spans="1:18" s="14" customFormat="1" ht="36" x14ac:dyDescent="0.2">
      <c r="A24" s="1"/>
      <c r="B24" s="2"/>
      <c r="C24" s="2"/>
      <c r="D24" s="15" t="s">
        <v>459</v>
      </c>
      <c r="E24" s="4">
        <v>1883455</v>
      </c>
      <c r="F24" s="4">
        <f t="shared" si="8"/>
        <v>-1790800</v>
      </c>
      <c r="G24" s="4">
        <f>-42000-748800-1000000</f>
        <v>-1790800</v>
      </c>
      <c r="H24" s="4"/>
      <c r="I24" s="4">
        <f t="shared" si="10"/>
        <v>92655</v>
      </c>
      <c r="J24" s="4">
        <v>465945</v>
      </c>
      <c r="K24" s="4">
        <f t="shared" si="11"/>
        <v>0</v>
      </c>
      <c r="L24" s="4"/>
      <c r="M24" s="4"/>
      <c r="N24" s="4"/>
      <c r="O24" s="4">
        <f t="shared" si="12"/>
        <v>465945</v>
      </c>
      <c r="P24" s="4">
        <f t="shared" si="2"/>
        <v>2349400</v>
      </c>
      <c r="Q24" s="4">
        <f t="shared" si="3"/>
        <v>-1790800</v>
      </c>
      <c r="R24" s="4">
        <f t="shared" si="4"/>
        <v>558600</v>
      </c>
    </row>
    <row r="25" spans="1:18" s="14" customFormat="1" ht="37.5" customHeight="1" x14ac:dyDescent="0.2">
      <c r="A25" s="1"/>
      <c r="B25" s="2"/>
      <c r="C25" s="2"/>
      <c r="D25" s="15" t="s">
        <v>373</v>
      </c>
      <c r="E25" s="4">
        <v>239320</v>
      </c>
      <c r="F25" s="4">
        <f t="shared" si="8"/>
        <v>0</v>
      </c>
      <c r="G25" s="4"/>
      <c r="H25" s="4"/>
      <c r="I25" s="4">
        <f t="shared" si="10"/>
        <v>239320</v>
      </c>
      <c r="J25" s="4">
        <v>0</v>
      </c>
      <c r="K25" s="4">
        <f t="shared" si="11"/>
        <v>0</v>
      </c>
      <c r="L25" s="4"/>
      <c r="M25" s="4"/>
      <c r="N25" s="4"/>
      <c r="O25" s="4">
        <f t="shared" si="12"/>
        <v>0</v>
      </c>
      <c r="P25" s="4">
        <f t="shared" si="2"/>
        <v>239320</v>
      </c>
      <c r="Q25" s="4">
        <f t="shared" si="3"/>
        <v>0</v>
      </c>
      <c r="R25" s="4">
        <f t="shared" si="4"/>
        <v>239320</v>
      </c>
    </row>
    <row r="26" spans="1:18" s="14" customFormat="1" ht="12" x14ac:dyDescent="0.2">
      <c r="A26" s="1"/>
      <c r="B26" s="2"/>
      <c r="C26" s="2"/>
      <c r="D26" s="15" t="s">
        <v>426</v>
      </c>
      <c r="E26" s="4">
        <v>248900</v>
      </c>
      <c r="F26" s="4">
        <f t="shared" si="8"/>
        <v>0</v>
      </c>
      <c r="G26" s="4"/>
      <c r="H26" s="4"/>
      <c r="I26" s="4">
        <f t="shared" si="10"/>
        <v>248900</v>
      </c>
      <c r="J26" s="4">
        <v>77084</v>
      </c>
      <c r="K26" s="4">
        <f t="shared" si="11"/>
        <v>0</v>
      </c>
      <c r="L26" s="4"/>
      <c r="M26" s="4"/>
      <c r="N26" s="4"/>
      <c r="O26" s="4">
        <f t="shared" si="12"/>
        <v>77084</v>
      </c>
      <c r="P26" s="4">
        <f t="shared" si="2"/>
        <v>325984</v>
      </c>
      <c r="Q26" s="4">
        <f t="shared" si="3"/>
        <v>0</v>
      </c>
      <c r="R26" s="4">
        <f t="shared" si="4"/>
        <v>325984</v>
      </c>
    </row>
    <row r="27" spans="1:18" s="14" customFormat="1" ht="24" x14ac:dyDescent="0.2">
      <c r="A27" s="1" t="s">
        <v>553</v>
      </c>
      <c r="B27" s="2" t="s">
        <v>554</v>
      </c>
      <c r="C27" s="2" t="s">
        <v>554</v>
      </c>
      <c r="D27" s="15" t="s">
        <v>555</v>
      </c>
      <c r="E27" s="4">
        <v>6212895</v>
      </c>
      <c r="F27" s="4">
        <f t="shared" si="8"/>
        <v>0</v>
      </c>
      <c r="G27" s="4"/>
      <c r="H27" s="4"/>
      <c r="I27" s="4">
        <f t="shared" si="10"/>
        <v>6212895</v>
      </c>
      <c r="J27" s="4"/>
      <c r="K27" s="4"/>
      <c r="L27" s="4"/>
      <c r="M27" s="4"/>
      <c r="N27" s="4"/>
      <c r="O27" s="4"/>
      <c r="P27" s="4">
        <f t="shared" si="2"/>
        <v>6212895</v>
      </c>
      <c r="Q27" s="4">
        <f t="shared" si="3"/>
        <v>0</v>
      </c>
      <c r="R27" s="4">
        <f t="shared" si="4"/>
        <v>6212895</v>
      </c>
    </row>
    <row r="28" spans="1:18" s="14" customFormat="1" ht="12" x14ac:dyDescent="0.2">
      <c r="A28" s="1" t="s">
        <v>334</v>
      </c>
      <c r="B28" s="2" t="s">
        <v>335</v>
      </c>
      <c r="C28" s="2" t="s">
        <v>254</v>
      </c>
      <c r="D28" s="3" t="s">
        <v>253</v>
      </c>
      <c r="E28" s="4">
        <v>149934</v>
      </c>
      <c r="F28" s="4">
        <f t="shared" si="8"/>
        <v>0</v>
      </c>
      <c r="G28" s="4"/>
      <c r="H28" s="4"/>
      <c r="I28" s="4">
        <f t="shared" si="10"/>
        <v>149934</v>
      </c>
      <c r="J28" s="4">
        <v>0</v>
      </c>
      <c r="K28" s="4">
        <f t="shared" si="11"/>
        <v>0</v>
      </c>
      <c r="L28" s="4"/>
      <c r="M28" s="4"/>
      <c r="N28" s="4"/>
      <c r="O28" s="4">
        <f t="shared" si="12"/>
        <v>0</v>
      </c>
      <c r="P28" s="4">
        <f t="shared" si="2"/>
        <v>149934</v>
      </c>
      <c r="Q28" s="4">
        <f t="shared" si="3"/>
        <v>0</v>
      </c>
      <c r="R28" s="4">
        <f t="shared" si="4"/>
        <v>149934</v>
      </c>
    </row>
    <row r="29" spans="1:18" s="14" customFormat="1" ht="12" x14ac:dyDescent="0.2">
      <c r="A29" s="1" t="s">
        <v>388</v>
      </c>
      <c r="B29" s="2" t="s">
        <v>389</v>
      </c>
      <c r="C29" s="2" t="s">
        <v>39</v>
      </c>
      <c r="D29" s="3" t="s">
        <v>390</v>
      </c>
      <c r="E29" s="4">
        <v>0</v>
      </c>
      <c r="F29" s="4">
        <f t="shared" si="8"/>
        <v>0</v>
      </c>
      <c r="G29" s="4"/>
      <c r="H29" s="4"/>
      <c r="I29" s="4">
        <f t="shared" si="10"/>
        <v>0</v>
      </c>
      <c r="J29" s="4">
        <v>3000000</v>
      </c>
      <c r="K29" s="4">
        <f t="shared" si="11"/>
        <v>-1000000</v>
      </c>
      <c r="L29" s="4">
        <f>-1000000</f>
        <v>-1000000</v>
      </c>
      <c r="M29" s="4"/>
      <c r="N29" s="4">
        <f>-1000000</f>
        <v>-1000000</v>
      </c>
      <c r="O29" s="4">
        <f t="shared" si="12"/>
        <v>2000000</v>
      </c>
      <c r="P29" s="4">
        <f t="shared" si="2"/>
        <v>3000000</v>
      </c>
      <c r="Q29" s="4">
        <f t="shared" si="3"/>
        <v>-1000000</v>
      </c>
      <c r="R29" s="4">
        <f t="shared" si="4"/>
        <v>2000000</v>
      </c>
    </row>
    <row r="30" spans="1:18" s="14" customFormat="1" ht="24" x14ac:dyDescent="0.2">
      <c r="A30" s="2" t="s">
        <v>493</v>
      </c>
      <c r="B30" s="2" t="s">
        <v>278</v>
      </c>
      <c r="C30" s="2" t="s">
        <v>247</v>
      </c>
      <c r="D30" s="3" t="s">
        <v>279</v>
      </c>
      <c r="E30" s="4">
        <v>0</v>
      </c>
      <c r="F30" s="4">
        <f t="shared" si="8"/>
        <v>0</v>
      </c>
      <c r="G30" s="4"/>
      <c r="H30" s="4"/>
      <c r="I30" s="4">
        <f t="shared" si="10"/>
        <v>0</v>
      </c>
      <c r="J30" s="4">
        <v>2472877</v>
      </c>
      <c r="K30" s="4">
        <f t="shared" si="11"/>
        <v>0</v>
      </c>
      <c r="L30" s="4"/>
      <c r="M30" s="4"/>
      <c r="N30" s="4"/>
      <c r="O30" s="4">
        <f t="shared" si="12"/>
        <v>2472877</v>
      </c>
      <c r="P30" s="4">
        <f t="shared" ref="P30:P33" si="13">E30+J30</f>
        <v>2472877</v>
      </c>
      <c r="Q30" s="4">
        <f t="shared" ref="Q30:Q33" si="14">F30+K30</f>
        <v>0</v>
      </c>
      <c r="R30" s="4">
        <f t="shared" ref="R30:R33" si="15">I30+O30</f>
        <v>2472877</v>
      </c>
    </row>
    <row r="31" spans="1:18" s="14" customFormat="1" ht="24" x14ac:dyDescent="0.2">
      <c r="A31" s="1" t="s">
        <v>199</v>
      </c>
      <c r="B31" s="2" t="s">
        <v>200</v>
      </c>
      <c r="C31" s="2" t="s">
        <v>41</v>
      </c>
      <c r="D31" s="15" t="s">
        <v>216</v>
      </c>
      <c r="E31" s="4">
        <v>510000</v>
      </c>
      <c r="F31" s="4">
        <f t="shared" si="8"/>
        <v>0</v>
      </c>
      <c r="G31" s="4"/>
      <c r="H31" s="4"/>
      <c r="I31" s="4">
        <f t="shared" si="10"/>
        <v>510000</v>
      </c>
      <c r="J31" s="4">
        <v>0</v>
      </c>
      <c r="K31" s="4">
        <f t="shared" si="11"/>
        <v>0</v>
      </c>
      <c r="L31" s="4"/>
      <c r="M31" s="4"/>
      <c r="N31" s="4"/>
      <c r="O31" s="4">
        <f t="shared" si="12"/>
        <v>0</v>
      </c>
      <c r="P31" s="4">
        <f t="shared" si="13"/>
        <v>510000</v>
      </c>
      <c r="Q31" s="4">
        <f t="shared" si="14"/>
        <v>0</v>
      </c>
      <c r="R31" s="4">
        <f t="shared" si="15"/>
        <v>510000</v>
      </c>
    </row>
    <row r="32" spans="1:18" s="14" customFormat="1" ht="12" x14ac:dyDescent="0.2">
      <c r="A32" s="1" t="s">
        <v>379</v>
      </c>
      <c r="B32" s="1" t="s">
        <v>351</v>
      </c>
      <c r="C32" s="2" t="s">
        <v>41</v>
      </c>
      <c r="D32" s="67" t="s">
        <v>233</v>
      </c>
      <c r="E32" s="4">
        <f t="shared" ref="E32:H32" si="16">E34+E35+E36+E37+E38</f>
        <v>5611000</v>
      </c>
      <c r="F32" s="4">
        <f t="shared" si="8"/>
        <v>-807600</v>
      </c>
      <c r="G32" s="4">
        <f>G34+G35+G36+G37+G38</f>
        <v>-807600</v>
      </c>
      <c r="H32" s="4">
        <f t="shared" si="16"/>
        <v>0</v>
      </c>
      <c r="I32" s="4">
        <f>I34+I35+I36+I37+I38</f>
        <v>4803400</v>
      </c>
      <c r="J32" s="4">
        <v>42916</v>
      </c>
      <c r="K32" s="4">
        <f t="shared" ref="K32:R32" si="17">K34+K35+K36+K37+K38</f>
        <v>73600</v>
      </c>
      <c r="L32" s="4">
        <f t="shared" si="17"/>
        <v>73600</v>
      </c>
      <c r="M32" s="4">
        <f t="shared" si="17"/>
        <v>0</v>
      </c>
      <c r="N32" s="4">
        <f t="shared" si="17"/>
        <v>73600</v>
      </c>
      <c r="O32" s="4">
        <f>O34+O35+O36+O37+O38</f>
        <v>116516</v>
      </c>
      <c r="P32" s="4">
        <f t="shared" si="17"/>
        <v>5653916</v>
      </c>
      <c r="Q32" s="4">
        <f t="shared" si="17"/>
        <v>-734000</v>
      </c>
      <c r="R32" s="4">
        <f t="shared" si="17"/>
        <v>4919916</v>
      </c>
    </row>
    <row r="33" spans="1:18" s="14" customFormat="1" ht="12" x14ac:dyDescent="0.2">
      <c r="A33" s="1"/>
      <c r="B33" s="1"/>
      <c r="C33" s="2"/>
      <c r="D33" s="67" t="s">
        <v>234</v>
      </c>
      <c r="E33" s="4">
        <v>0</v>
      </c>
      <c r="F33" s="4">
        <f t="shared" si="8"/>
        <v>0</v>
      </c>
      <c r="G33" s="4"/>
      <c r="H33" s="4"/>
      <c r="I33" s="4">
        <f t="shared" si="10"/>
        <v>0</v>
      </c>
      <c r="J33" s="4">
        <v>0</v>
      </c>
      <c r="K33" s="4">
        <f t="shared" si="11"/>
        <v>0</v>
      </c>
      <c r="L33" s="4"/>
      <c r="M33" s="4"/>
      <c r="N33" s="4"/>
      <c r="O33" s="4">
        <f t="shared" si="12"/>
        <v>0</v>
      </c>
      <c r="P33" s="4">
        <f t="shared" si="13"/>
        <v>0</v>
      </c>
      <c r="Q33" s="4">
        <f t="shared" si="14"/>
        <v>0</v>
      </c>
      <c r="R33" s="4">
        <f t="shared" si="15"/>
        <v>0</v>
      </c>
    </row>
    <row r="34" spans="1:18" s="14" customFormat="1" ht="48" x14ac:dyDescent="0.2">
      <c r="A34" s="1"/>
      <c r="B34" s="1"/>
      <c r="C34" s="2"/>
      <c r="D34" s="15" t="s">
        <v>374</v>
      </c>
      <c r="E34" s="4">
        <v>4900000</v>
      </c>
      <c r="F34" s="4">
        <f t="shared" si="8"/>
        <v>-620000</v>
      </c>
      <c r="G34" s="4">
        <f>-620000</f>
        <v>-620000</v>
      </c>
      <c r="H34" s="4"/>
      <c r="I34" s="4">
        <f t="shared" si="10"/>
        <v>4280000</v>
      </c>
      <c r="J34" s="4">
        <v>42916</v>
      </c>
      <c r="K34" s="4">
        <f t="shared" si="11"/>
        <v>0</v>
      </c>
      <c r="L34" s="4"/>
      <c r="M34" s="4"/>
      <c r="N34" s="4"/>
      <c r="O34" s="4">
        <f t="shared" si="12"/>
        <v>42916</v>
      </c>
      <c r="P34" s="4">
        <f t="shared" si="2"/>
        <v>4942916</v>
      </c>
      <c r="Q34" s="4">
        <f t="shared" si="3"/>
        <v>-620000</v>
      </c>
      <c r="R34" s="4">
        <f t="shared" si="4"/>
        <v>4322916</v>
      </c>
    </row>
    <row r="35" spans="1:18" s="14" customFormat="1" ht="48" x14ac:dyDescent="0.2">
      <c r="A35" s="1"/>
      <c r="B35" s="1"/>
      <c r="C35" s="2"/>
      <c r="D35" s="15" t="s">
        <v>375</v>
      </c>
      <c r="E35" s="4">
        <v>462000</v>
      </c>
      <c r="F35" s="4">
        <f t="shared" si="8"/>
        <v>-73600</v>
      </c>
      <c r="G35" s="4">
        <f>-73600</f>
        <v>-73600</v>
      </c>
      <c r="H35" s="4"/>
      <c r="I35" s="4">
        <f t="shared" si="10"/>
        <v>388400</v>
      </c>
      <c r="J35" s="4"/>
      <c r="K35" s="4">
        <f t="shared" si="11"/>
        <v>73600</v>
      </c>
      <c r="L35" s="4">
        <f>73600</f>
        <v>73600</v>
      </c>
      <c r="M35" s="4"/>
      <c r="N35" s="4">
        <f>73600</f>
        <v>73600</v>
      </c>
      <c r="O35" s="4">
        <f t="shared" si="12"/>
        <v>73600</v>
      </c>
      <c r="P35" s="4">
        <f t="shared" si="2"/>
        <v>462000</v>
      </c>
      <c r="Q35" s="4">
        <f t="shared" si="3"/>
        <v>0</v>
      </c>
      <c r="R35" s="4">
        <f t="shared" si="4"/>
        <v>462000</v>
      </c>
    </row>
    <row r="36" spans="1:18" s="14" customFormat="1" ht="36" x14ac:dyDescent="0.2">
      <c r="A36" s="1"/>
      <c r="B36" s="1"/>
      <c r="C36" s="2"/>
      <c r="D36" s="15" t="s">
        <v>449</v>
      </c>
      <c r="E36" s="4">
        <v>100000</v>
      </c>
      <c r="F36" s="4">
        <f t="shared" si="8"/>
        <v>0</v>
      </c>
      <c r="G36" s="4"/>
      <c r="H36" s="4"/>
      <c r="I36" s="4">
        <f t="shared" si="10"/>
        <v>100000</v>
      </c>
      <c r="J36" s="4">
        <v>0</v>
      </c>
      <c r="K36" s="4">
        <f t="shared" si="11"/>
        <v>0</v>
      </c>
      <c r="L36" s="4"/>
      <c r="M36" s="4"/>
      <c r="N36" s="4"/>
      <c r="O36" s="4">
        <f t="shared" si="12"/>
        <v>0</v>
      </c>
      <c r="P36" s="4">
        <f t="shared" si="2"/>
        <v>100000</v>
      </c>
      <c r="Q36" s="4">
        <f t="shared" si="3"/>
        <v>0</v>
      </c>
      <c r="R36" s="4">
        <f t="shared" si="4"/>
        <v>100000</v>
      </c>
    </row>
    <row r="37" spans="1:18" s="14" customFormat="1" ht="36" x14ac:dyDescent="0.2">
      <c r="A37" s="1"/>
      <c r="B37" s="1"/>
      <c r="C37" s="2"/>
      <c r="D37" s="67" t="s">
        <v>74</v>
      </c>
      <c r="E37" s="4">
        <v>98000</v>
      </c>
      <c r="F37" s="4">
        <f t="shared" si="8"/>
        <v>-63000</v>
      </c>
      <c r="G37" s="4">
        <v>-63000</v>
      </c>
      <c r="H37" s="4"/>
      <c r="I37" s="4">
        <f t="shared" si="10"/>
        <v>35000</v>
      </c>
      <c r="J37" s="4">
        <v>0</v>
      </c>
      <c r="K37" s="4">
        <f t="shared" si="11"/>
        <v>0</v>
      </c>
      <c r="L37" s="4"/>
      <c r="M37" s="4"/>
      <c r="N37" s="4"/>
      <c r="O37" s="4">
        <f t="shared" si="12"/>
        <v>0</v>
      </c>
      <c r="P37" s="4">
        <f t="shared" si="2"/>
        <v>98000</v>
      </c>
      <c r="Q37" s="4">
        <f t="shared" si="3"/>
        <v>-63000</v>
      </c>
      <c r="R37" s="4">
        <f t="shared" si="4"/>
        <v>35000</v>
      </c>
    </row>
    <row r="38" spans="1:18" s="14" customFormat="1" ht="24" x14ac:dyDescent="0.2">
      <c r="A38" s="1"/>
      <c r="B38" s="1"/>
      <c r="C38" s="2"/>
      <c r="D38" s="67" t="s">
        <v>372</v>
      </c>
      <c r="E38" s="4">
        <v>51000</v>
      </c>
      <c r="F38" s="4">
        <f t="shared" si="8"/>
        <v>-51000</v>
      </c>
      <c r="G38" s="4">
        <v>-51000</v>
      </c>
      <c r="H38" s="4"/>
      <c r="I38" s="4">
        <f t="shared" si="10"/>
        <v>0</v>
      </c>
      <c r="J38" s="4">
        <v>0</v>
      </c>
      <c r="K38" s="4">
        <f t="shared" si="11"/>
        <v>0</v>
      </c>
      <c r="L38" s="4"/>
      <c r="M38" s="4"/>
      <c r="N38" s="4"/>
      <c r="O38" s="4">
        <f t="shared" si="12"/>
        <v>0</v>
      </c>
      <c r="P38" s="4">
        <f t="shared" si="2"/>
        <v>51000</v>
      </c>
      <c r="Q38" s="4">
        <f t="shared" si="3"/>
        <v>-51000</v>
      </c>
      <c r="R38" s="4">
        <f t="shared" si="4"/>
        <v>0</v>
      </c>
    </row>
    <row r="39" spans="1:18" s="14" customFormat="1" ht="12" x14ac:dyDescent="0.2">
      <c r="A39" s="1" t="s">
        <v>163</v>
      </c>
      <c r="B39" s="2" t="s">
        <v>99</v>
      </c>
      <c r="C39" s="2" t="s">
        <v>78</v>
      </c>
      <c r="D39" s="15" t="s">
        <v>100</v>
      </c>
      <c r="E39" s="4">
        <f>4222200+30000</f>
        <v>4252200</v>
      </c>
      <c r="F39" s="4">
        <f t="shared" si="8"/>
        <v>280000</v>
      </c>
      <c r="G39" s="4">
        <v>280000</v>
      </c>
      <c r="H39" s="4"/>
      <c r="I39" s="4">
        <f t="shared" si="10"/>
        <v>4532200</v>
      </c>
      <c r="J39" s="4">
        <v>0</v>
      </c>
      <c r="K39" s="4">
        <f t="shared" si="11"/>
        <v>0</v>
      </c>
      <c r="L39" s="4"/>
      <c r="M39" s="4"/>
      <c r="N39" s="4"/>
      <c r="O39" s="4">
        <f t="shared" si="12"/>
        <v>0</v>
      </c>
      <c r="P39" s="4">
        <f t="shared" si="2"/>
        <v>4252200</v>
      </c>
      <c r="Q39" s="4">
        <f t="shared" si="3"/>
        <v>280000</v>
      </c>
      <c r="R39" s="4">
        <f t="shared" si="4"/>
        <v>4532200</v>
      </c>
    </row>
    <row r="40" spans="1:18" s="14" customFormat="1" ht="24" x14ac:dyDescent="0.2">
      <c r="A40" s="1" t="s">
        <v>209</v>
      </c>
      <c r="B40" s="2" t="s">
        <v>210</v>
      </c>
      <c r="C40" s="2" t="s">
        <v>78</v>
      </c>
      <c r="D40" s="15" t="s">
        <v>336</v>
      </c>
      <c r="E40" s="4">
        <f>1100544+35000+58203+33600+42950+46800+39600+35000+35000</f>
        <v>1426697</v>
      </c>
      <c r="F40" s="4">
        <f>F42+F43</f>
        <v>-150000</v>
      </c>
      <c r="G40" s="4">
        <f>G42+G43</f>
        <v>-150000</v>
      </c>
      <c r="H40" s="4">
        <f>H42+H43</f>
        <v>0</v>
      </c>
      <c r="I40" s="4">
        <f>I42+I43</f>
        <v>1325697</v>
      </c>
      <c r="J40" s="4">
        <v>0</v>
      </c>
      <c r="K40" s="4">
        <f t="shared" si="11"/>
        <v>0</v>
      </c>
      <c r="L40" s="4"/>
      <c r="M40" s="4"/>
      <c r="N40" s="4"/>
      <c r="O40" s="4">
        <f t="shared" si="12"/>
        <v>0</v>
      </c>
      <c r="P40" s="4">
        <f t="shared" si="2"/>
        <v>1426697</v>
      </c>
      <c r="Q40" s="4">
        <f t="shared" si="3"/>
        <v>-150000</v>
      </c>
      <c r="R40" s="4">
        <f t="shared" si="4"/>
        <v>1325697</v>
      </c>
    </row>
    <row r="41" spans="1:18" s="14" customFormat="1" ht="12" x14ac:dyDescent="0.2">
      <c r="A41" s="1"/>
      <c r="B41" s="2"/>
      <c r="C41" s="2"/>
      <c r="D41" s="3" t="s">
        <v>214</v>
      </c>
      <c r="E41" s="4"/>
      <c r="F41" s="4"/>
      <c r="G41" s="4"/>
      <c r="H41" s="4"/>
      <c r="I41" s="4"/>
      <c r="J41" s="4">
        <v>0</v>
      </c>
      <c r="K41" s="4">
        <f t="shared" si="11"/>
        <v>0</v>
      </c>
      <c r="L41" s="4"/>
      <c r="M41" s="4"/>
      <c r="N41" s="4"/>
      <c r="O41" s="4">
        <f t="shared" si="12"/>
        <v>0</v>
      </c>
      <c r="P41" s="4">
        <f t="shared" si="2"/>
        <v>0</v>
      </c>
      <c r="Q41" s="4">
        <f t="shared" si="3"/>
        <v>0</v>
      </c>
      <c r="R41" s="4">
        <f t="shared" si="4"/>
        <v>0</v>
      </c>
    </row>
    <row r="42" spans="1:18" s="14" customFormat="1" ht="57.75" customHeight="1" x14ac:dyDescent="0.2">
      <c r="A42" s="1"/>
      <c r="B42" s="2"/>
      <c r="C42" s="2"/>
      <c r="D42" s="15" t="s">
        <v>215</v>
      </c>
      <c r="E42" s="4">
        <v>50000</v>
      </c>
      <c r="F42" s="4">
        <f>G42</f>
        <v>0</v>
      </c>
      <c r="G42" s="4"/>
      <c r="H42" s="4"/>
      <c r="I42" s="4">
        <f t="shared" ref="I42" si="18">E42+F42</f>
        <v>50000</v>
      </c>
      <c r="J42" s="4">
        <v>0</v>
      </c>
      <c r="K42" s="4">
        <f t="shared" si="11"/>
        <v>0</v>
      </c>
      <c r="L42" s="4"/>
      <c r="M42" s="4"/>
      <c r="N42" s="4"/>
      <c r="O42" s="4">
        <f t="shared" si="12"/>
        <v>0</v>
      </c>
      <c r="P42" s="4">
        <f t="shared" si="2"/>
        <v>50000</v>
      </c>
      <c r="Q42" s="4">
        <f t="shared" si="3"/>
        <v>0</v>
      </c>
      <c r="R42" s="4">
        <f t="shared" si="4"/>
        <v>50000</v>
      </c>
    </row>
    <row r="43" spans="1:18" s="14" customFormat="1" ht="60" x14ac:dyDescent="0.2">
      <c r="A43" s="1"/>
      <c r="B43" s="2"/>
      <c r="C43" s="2"/>
      <c r="D43" s="15" t="s">
        <v>77</v>
      </c>
      <c r="E43" s="4">
        <f>1050544+35000+58203+33600+42950+46800+39600+49000+70000</f>
        <v>1425697</v>
      </c>
      <c r="F43" s="4">
        <f>G43</f>
        <v>-150000</v>
      </c>
      <c r="G43" s="4">
        <v>-150000</v>
      </c>
      <c r="H43" s="4"/>
      <c r="I43" s="4">
        <f>E43+F43</f>
        <v>1275697</v>
      </c>
      <c r="J43" s="4">
        <v>0</v>
      </c>
      <c r="K43" s="4">
        <f t="shared" si="11"/>
        <v>0</v>
      </c>
      <c r="L43" s="4"/>
      <c r="M43" s="4"/>
      <c r="N43" s="4"/>
      <c r="O43" s="4">
        <f t="shared" si="12"/>
        <v>0</v>
      </c>
      <c r="P43" s="4">
        <f t="shared" si="2"/>
        <v>1425697</v>
      </c>
      <c r="Q43" s="4">
        <f t="shared" si="3"/>
        <v>-150000</v>
      </c>
      <c r="R43" s="4">
        <f t="shared" si="4"/>
        <v>1275697</v>
      </c>
    </row>
    <row r="44" spans="1:18" s="14" customFormat="1" ht="24" x14ac:dyDescent="0.2">
      <c r="A44" s="1" t="s">
        <v>201</v>
      </c>
      <c r="B44" s="2" t="s">
        <v>202</v>
      </c>
      <c r="C44" s="2" t="s">
        <v>203</v>
      </c>
      <c r="D44" s="15" t="s">
        <v>205</v>
      </c>
      <c r="E44" s="4">
        <f>E46+E47</f>
        <v>7524088</v>
      </c>
      <c r="F44" s="4">
        <f>F46+F47</f>
        <v>0</v>
      </c>
      <c r="G44" s="4">
        <f>G46+G47</f>
        <v>0</v>
      </c>
      <c r="H44" s="4">
        <f>H46+H47</f>
        <v>0</v>
      </c>
      <c r="I44" s="4">
        <f>E44+F44</f>
        <v>7524088</v>
      </c>
      <c r="J44" s="4">
        <v>0</v>
      </c>
      <c r="K44" s="4">
        <f>M44+N44</f>
        <v>0</v>
      </c>
      <c r="L44" s="4"/>
      <c r="M44" s="4"/>
      <c r="N44" s="4"/>
      <c r="O44" s="4">
        <f t="shared" si="12"/>
        <v>0</v>
      </c>
      <c r="P44" s="4">
        <f t="shared" si="2"/>
        <v>7524088</v>
      </c>
      <c r="Q44" s="4">
        <f t="shared" si="3"/>
        <v>0</v>
      </c>
      <c r="R44" s="4">
        <f t="shared" si="4"/>
        <v>7524088</v>
      </c>
    </row>
    <row r="45" spans="1:18" s="14" customFormat="1" ht="12" x14ac:dyDescent="0.2">
      <c r="A45" s="1"/>
      <c r="B45" s="2"/>
      <c r="C45" s="2"/>
      <c r="D45" s="3" t="s">
        <v>214</v>
      </c>
      <c r="E45" s="4"/>
      <c r="F45" s="4"/>
      <c r="G45" s="4"/>
      <c r="H45" s="4"/>
      <c r="I45" s="4"/>
      <c r="J45" s="4">
        <v>0</v>
      </c>
      <c r="K45" s="4">
        <f t="shared" si="11"/>
        <v>0</v>
      </c>
      <c r="L45" s="4"/>
      <c r="M45" s="4"/>
      <c r="N45" s="4"/>
      <c r="O45" s="4">
        <f t="shared" si="12"/>
        <v>0</v>
      </c>
      <c r="P45" s="4">
        <f t="shared" si="2"/>
        <v>0</v>
      </c>
      <c r="Q45" s="4">
        <f t="shared" si="3"/>
        <v>0</v>
      </c>
      <c r="R45" s="4">
        <f t="shared" si="4"/>
        <v>0</v>
      </c>
    </row>
    <row r="46" spans="1:18" s="14" customFormat="1" ht="12" x14ac:dyDescent="0.2">
      <c r="A46" s="1"/>
      <c r="B46" s="2"/>
      <c r="C46" s="2"/>
      <c r="D46" s="15" t="s">
        <v>204</v>
      </c>
      <c r="E46" s="4">
        <v>6929688</v>
      </c>
      <c r="F46" s="4">
        <f>G46</f>
        <v>0</v>
      </c>
      <c r="G46" s="4"/>
      <c r="H46" s="4"/>
      <c r="I46" s="4">
        <f t="shared" ref="I46" si="19">E46+F46</f>
        <v>6929688</v>
      </c>
      <c r="J46" s="4">
        <v>0</v>
      </c>
      <c r="K46" s="4">
        <f t="shared" si="11"/>
        <v>0</v>
      </c>
      <c r="L46" s="4"/>
      <c r="M46" s="4"/>
      <c r="N46" s="4"/>
      <c r="O46" s="4">
        <f t="shared" si="12"/>
        <v>0</v>
      </c>
      <c r="P46" s="4">
        <f t="shared" si="2"/>
        <v>6929688</v>
      </c>
      <c r="Q46" s="4">
        <f t="shared" si="3"/>
        <v>0</v>
      </c>
      <c r="R46" s="4">
        <f t="shared" si="4"/>
        <v>6929688</v>
      </c>
    </row>
    <row r="47" spans="1:18" s="14" customFormat="1" ht="24" x14ac:dyDescent="0.2">
      <c r="A47" s="1"/>
      <c r="B47" s="2"/>
      <c r="C47" s="2"/>
      <c r="D47" s="15" t="s">
        <v>206</v>
      </c>
      <c r="E47" s="4">
        <v>594400</v>
      </c>
      <c r="F47" s="4">
        <f>G47</f>
        <v>0</v>
      </c>
      <c r="G47" s="4"/>
      <c r="H47" s="4"/>
      <c r="I47" s="4">
        <f>E47+F47</f>
        <v>594400</v>
      </c>
      <c r="J47" s="4">
        <v>0</v>
      </c>
      <c r="K47" s="4">
        <f t="shared" si="11"/>
        <v>0</v>
      </c>
      <c r="L47" s="4"/>
      <c r="M47" s="4"/>
      <c r="N47" s="4"/>
      <c r="O47" s="4">
        <f t="shared" si="12"/>
        <v>0</v>
      </c>
      <c r="P47" s="4">
        <f t="shared" si="2"/>
        <v>594400</v>
      </c>
      <c r="Q47" s="4">
        <f t="shared" si="3"/>
        <v>0</v>
      </c>
      <c r="R47" s="4">
        <f t="shared" si="4"/>
        <v>594400</v>
      </c>
    </row>
    <row r="48" spans="1:18" s="14" customFormat="1" ht="12" x14ac:dyDescent="0.2">
      <c r="A48" s="1"/>
      <c r="B48" s="2"/>
      <c r="C48" s="2"/>
      <c r="D48" s="65" t="s">
        <v>468</v>
      </c>
      <c r="E48" s="4">
        <v>0</v>
      </c>
      <c r="F48" s="4"/>
      <c r="G48" s="4"/>
      <c r="H48" s="4"/>
      <c r="I48" s="4">
        <f t="shared" ref="I48:I50" si="20">E48+F48</f>
        <v>0</v>
      </c>
      <c r="J48" s="4"/>
      <c r="K48" s="4"/>
      <c r="L48" s="4"/>
      <c r="M48" s="4"/>
      <c r="N48" s="4"/>
      <c r="O48" s="4"/>
      <c r="P48" s="4">
        <f t="shared" si="2"/>
        <v>0</v>
      </c>
      <c r="Q48" s="4">
        <f t="shared" si="3"/>
        <v>0</v>
      </c>
      <c r="R48" s="4">
        <f t="shared" si="4"/>
        <v>0</v>
      </c>
    </row>
    <row r="49" spans="1:20" s="14" customFormat="1" ht="21.75" customHeight="1" x14ac:dyDescent="0.2">
      <c r="A49" s="1"/>
      <c r="B49" s="2"/>
      <c r="C49" s="2"/>
      <c r="D49" s="66" t="s">
        <v>467</v>
      </c>
      <c r="E49" s="4">
        <v>187200</v>
      </c>
      <c r="F49" s="4">
        <f>G49</f>
        <v>0</v>
      </c>
      <c r="G49" s="4"/>
      <c r="H49" s="4"/>
      <c r="I49" s="4">
        <f t="shared" si="20"/>
        <v>187200</v>
      </c>
      <c r="J49" s="4"/>
      <c r="K49" s="4"/>
      <c r="L49" s="4"/>
      <c r="M49" s="4"/>
      <c r="N49" s="4"/>
      <c r="O49" s="4"/>
      <c r="P49" s="4">
        <f t="shared" si="2"/>
        <v>187200</v>
      </c>
      <c r="Q49" s="4">
        <f t="shared" si="3"/>
        <v>0</v>
      </c>
      <c r="R49" s="4">
        <f t="shared" si="4"/>
        <v>187200</v>
      </c>
    </row>
    <row r="50" spans="1:20" s="14" customFormat="1" ht="21.75" customHeight="1" x14ac:dyDescent="0.2">
      <c r="A50" s="1"/>
      <c r="B50" s="2"/>
      <c r="C50" s="2"/>
      <c r="D50" s="66" t="s">
        <v>496</v>
      </c>
      <c r="E50" s="4">
        <v>187200</v>
      </c>
      <c r="F50" s="4">
        <f>G50</f>
        <v>0</v>
      </c>
      <c r="G50" s="4"/>
      <c r="H50" s="4"/>
      <c r="I50" s="4">
        <f t="shared" si="20"/>
        <v>187200</v>
      </c>
      <c r="J50" s="4"/>
      <c r="K50" s="4"/>
      <c r="L50" s="4"/>
      <c r="M50" s="4"/>
      <c r="N50" s="4"/>
      <c r="O50" s="4"/>
      <c r="P50" s="4">
        <f t="shared" si="2"/>
        <v>187200</v>
      </c>
      <c r="Q50" s="4">
        <f t="shared" si="3"/>
        <v>0</v>
      </c>
      <c r="R50" s="4">
        <f t="shared" si="4"/>
        <v>187200</v>
      </c>
    </row>
    <row r="51" spans="1:20" s="14" customFormat="1" ht="24" x14ac:dyDescent="0.2">
      <c r="A51" s="1" t="s">
        <v>207</v>
      </c>
      <c r="B51" s="2" t="s">
        <v>208</v>
      </c>
      <c r="C51" s="2" t="s">
        <v>203</v>
      </c>
      <c r="D51" s="15" t="s">
        <v>223</v>
      </c>
      <c r="E51" s="4">
        <v>696800</v>
      </c>
      <c r="F51" s="4">
        <f>F53</f>
        <v>0</v>
      </c>
      <c r="G51" s="4">
        <f>G53</f>
        <v>0</v>
      </c>
      <c r="H51" s="4">
        <f>H53</f>
        <v>0</v>
      </c>
      <c r="I51" s="4">
        <f>I53</f>
        <v>696800</v>
      </c>
      <c r="J51" s="4">
        <v>0</v>
      </c>
      <c r="K51" s="4">
        <f t="shared" si="11"/>
        <v>0</v>
      </c>
      <c r="L51" s="4"/>
      <c r="M51" s="4"/>
      <c r="N51" s="4"/>
      <c r="O51" s="4">
        <f t="shared" si="12"/>
        <v>0</v>
      </c>
      <c r="P51" s="4">
        <f t="shared" si="2"/>
        <v>696800</v>
      </c>
      <c r="Q51" s="4">
        <f t="shared" si="3"/>
        <v>0</v>
      </c>
      <c r="R51" s="4">
        <f t="shared" si="4"/>
        <v>696800</v>
      </c>
    </row>
    <row r="52" spans="1:20" s="14" customFormat="1" ht="12" x14ac:dyDescent="0.2">
      <c r="A52" s="1"/>
      <c r="B52" s="2"/>
      <c r="C52" s="2"/>
      <c r="D52" s="3" t="s">
        <v>214</v>
      </c>
      <c r="E52" s="4"/>
      <c r="F52" s="4"/>
      <c r="G52" s="4"/>
      <c r="H52" s="4"/>
      <c r="I52" s="4"/>
      <c r="J52" s="4">
        <v>0</v>
      </c>
      <c r="K52" s="4">
        <f t="shared" si="11"/>
        <v>0</v>
      </c>
      <c r="L52" s="4"/>
      <c r="M52" s="4"/>
      <c r="N52" s="4"/>
      <c r="O52" s="4">
        <f t="shared" si="12"/>
        <v>0</v>
      </c>
      <c r="P52" s="4">
        <f t="shared" si="2"/>
        <v>0</v>
      </c>
      <c r="Q52" s="4">
        <f t="shared" si="3"/>
        <v>0</v>
      </c>
      <c r="R52" s="4">
        <f t="shared" si="4"/>
        <v>0</v>
      </c>
    </row>
    <row r="53" spans="1:20" s="14" customFormat="1" ht="36" x14ac:dyDescent="0.2">
      <c r="A53" s="1"/>
      <c r="B53" s="2"/>
      <c r="C53" s="2"/>
      <c r="D53" s="15" t="s">
        <v>400</v>
      </c>
      <c r="E53" s="4">
        <v>696800</v>
      </c>
      <c r="F53" s="4">
        <f>G53</f>
        <v>0</v>
      </c>
      <c r="G53" s="4"/>
      <c r="H53" s="4"/>
      <c r="I53" s="4">
        <f t="shared" ref="I53:I60" si="21">E53+F53</f>
        <v>696800</v>
      </c>
      <c r="J53" s="4">
        <v>0</v>
      </c>
      <c r="K53" s="4">
        <f t="shared" si="11"/>
        <v>0</v>
      </c>
      <c r="L53" s="4"/>
      <c r="M53" s="4"/>
      <c r="N53" s="4"/>
      <c r="O53" s="4">
        <f t="shared" si="12"/>
        <v>0</v>
      </c>
      <c r="P53" s="4">
        <f t="shared" si="2"/>
        <v>696800</v>
      </c>
      <c r="Q53" s="4">
        <f t="shared" si="3"/>
        <v>0</v>
      </c>
      <c r="R53" s="4">
        <f t="shared" si="4"/>
        <v>696800</v>
      </c>
    </row>
    <row r="54" spans="1:20" s="14" customFormat="1" ht="10.5" customHeight="1" x14ac:dyDescent="0.2">
      <c r="A54" s="1" t="s">
        <v>212</v>
      </c>
      <c r="B54" s="2" t="s">
        <v>211</v>
      </c>
      <c r="C54" s="2" t="s">
        <v>203</v>
      </c>
      <c r="D54" s="15" t="s">
        <v>222</v>
      </c>
      <c r="E54" s="4">
        <v>267771</v>
      </c>
      <c r="F54" s="4">
        <f>G54</f>
        <v>0</v>
      </c>
      <c r="G54" s="4">
        <f>G56</f>
        <v>0</v>
      </c>
      <c r="H54" s="4"/>
      <c r="I54" s="4">
        <f t="shared" si="21"/>
        <v>267771</v>
      </c>
      <c r="J54" s="4">
        <v>202240</v>
      </c>
      <c r="K54" s="4">
        <f t="shared" si="11"/>
        <v>0</v>
      </c>
      <c r="L54" s="4"/>
      <c r="M54" s="4"/>
      <c r="N54" s="4"/>
      <c r="O54" s="4">
        <f t="shared" si="12"/>
        <v>202240</v>
      </c>
      <c r="P54" s="12">
        <f t="shared" si="2"/>
        <v>470011</v>
      </c>
      <c r="Q54" s="4">
        <f t="shared" si="3"/>
        <v>0</v>
      </c>
      <c r="R54" s="4">
        <f t="shared" si="4"/>
        <v>470011</v>
      </c>
    </row>
    <row r="55" spans="1:20" s="14" customFormat="1" ht="19.5" customHeight="1" x14ac:dyDescent="0.2">
      <c r="A55" s="1"/>
      <c r="B55" s="2"/>
      <c r="C55" s="2"/>
      <c r="D55" s="3" t="s">
        <v>214</v>
      </c>
      <c r="E55" s="4">
        <v>0</v>
      </c>
      <c r="F55" s="4">
        <f>G55</f>
        <v>0</v>
      </c>
      <c r="G55" s="4"/>
      <c r="H55" s="4"/>
      <c r="I55" s="4">
        <f t="shared" si="21"/>
        <v>0</v>
      </c>
      <c r="J55" s="4">
        <v>0</v>
      </c>
      <c r="K55" s="4">
        <f t="shared" si="11"/>
        <v>0</v>
      </c>
      <c r="L55" s="4"/>
      <c r="M55" s="4"/>
      <c r="N55" s="4"/>
      <c r="O55" s="4">
        <f t="shared" si="12"/>
        <v>0</v>
      </c>
      <c r="P55" s="12">
        <f t="shared" si="2"/>
        <v>0</v>
      </c>
      <c r="Q55" s="4">
        <f t="shared" si="3"/>
        <v>0</v>
      </c>
      <c r="R55" s="4">
        <f t="shared" si="4"/>
        <v>0</v>
      </c>
    </row>
    <row r="56" spans="1:20" s="14" customFormat="1" ht="21.75" customHeight="1" x14ac:dyDescent="0.2">
      <c r="A56" s="1"/>
      <c r="B56" s="2"/>
      <c r="C56" s="2"/>
      <c r="D56" s="15" t="s">
        <v>497</v>
      </c>
      <c r="E56" s="4">
        <v>267771</v>
      </c>
      <c r="F56" s="4">
        <f>G56</f>
        <v>0</v>
      </c>
      <c r="G56" s="4"/>
      <c r="H56" s="4"/>
      <c r="I56" s="4">
        <f t="shared" si="21"/>
        <v>267771</v>
      </c>
      <c r="J56" s="4">
        <v>202240</v>
      </c>
      <c r="K56" s="4">
        <f t="shared" si="11"/>
        <v>0</v>
      </c>
      <c r="L56" s="4"/>
      <c r="M56" s="4"/>
      <c r="N56" s="4"/>
      <c r="O56" s="4">
        <f t="shared" si="12"/>
        <v>202240</v>
      </c>
      <c r="P56" s="12">
        <f t="shared" si="2"/>
        <v>470011</v>
      </c>
      <c r="Q56" s="4">
        <f t="shared" si="3"/>
        <v>0</v>
      </c>
      <c r="R56" s="4">
        <f t="shared" si="4"/>
        <v>470011</v>
      </c>
    </row>
    <row r="57" spans="1:20" s="14" customFormat="1" ht="12" x14ac:dyDescent="0.2">
      <c r="A57" s="1" t="s">
        <v>395</v>
      </c>
      <c r="B57" s="2" t="s">
        <v>396</v>
      </c>
      <c r="C57" s="2" t="s">
        <v>63</v>
      </c>
      <c r="D57" s="15" t="s">
        <v>397</v>
      </c>
      <c r="E57" s="4">
        <f>E59+E60</f>
        <v>5394929</v>
      </c>
      <c r="F57" s="4">
        <f>G57</f>
        <v>748800</v>
      </c>
      <c r="G57" s="4">
        <f>G59+G60</f>
        <v>748800</v>
      </c>
      <c r="H57" s="4"/>
      <c r="I57" s="4">
        <f>E57+F57</f>
        <v>6143729</v>
      </c>
      <c r="J57" s="4">
        <v>0</v>
      </c>
      <c r="K57" s="4">
        <f t="shared" si="11"/>
        <v>0</v>
      </c>
      <c r="L57" s="4"/>
      <c r="M57" s="4"/>
      <c r="N57" s="4"/>
      <c r="O57" s="4">
        <f t="shared" si="12"/>
        <v>0</v>
      </c>
      <c r="P57" s="4">
        <f>E57+J57</f>
        <v>5394929</v>
      </c>
      <c r="Q57" s="4">
        <f>F57+K57</f>
        <v>748800</v>
      </c>
      <c r="R57" s="4">
        <f t="shared" si="4"/>
        <v>6143729</v>
      </c>
    </row>
    <row r="58" spans="1:20" s="14" customFormat="1" ht="12" x14ac:dyDescent="0.2">
      <c r="A58" s="1"/>
      <c r="B58" s="2"/>
      <c r="C58" s="2"/>
      <c r="D58" s="68" t="s">
        <v>214</v>
      </c>
      <c r="E58" s="4">
        <v>0</v>
      </c>
      <c r="F58" s="4">
        <f t="shared" ref="F58:F60" si="22">G58</f>
        <v>0</v>
      </c>
      <c r="G58" s="4"/>
      <c r="H58" s="4"/>
      <c r="I58" s="4">
        <f t="shared" si="21"/>
        <v>0</v>
      </c>
      <c r="J58" s="4"/>
      <c r="K58" s="4"/>
      <c r="L58" s="4"/>
      <c r="M58" s="4"/>
      <c r="N58" s="4"/>
      <c r="O58" s="4"/>
      <c r="P58" s="4">
        <f t="shared" ref="P58:P60" si="23">E58+J58</f>
        <v>0</v>
      </c>
      <c r="Q58" s="4">
        <f t="shared" ref="Q58:Q60" si="24">F58+K58</f>
        <v>0</v>
      </c>
      <c r="R58" s="4">
        <f t="shared" si="4"/>
        <v>0</v>
      </c>
    </row>
    <row r="59" spans="1:20" s="14" customFormat="1" ht="36" x14ac:dyDescent="0.2">
      <c r="A59" s="1"/>
      <c r="B59" s="2"/>
      <c r="C59" s="2"/>
      <c r="D59" s="65" t="s">
        <v>469</v>
      </c>
      <c r="E59" s="4">
        <v>2585529</v>
      </c>
      <c r="F59" s="4">
        <f t="shared" si="22"/>
        <v>748800</v>
      </c>
      <c r="G59" s="4">
        <f>150545+89939+508316</f>
        <v>748800</v>
      </c>
      <c r="H59" s="4"/>
      <c r="I59" s="4">
        <f t="shared" si="21"/>
        <v>3334329</v>
      </c>
      <c r="J59" s="4"/>
      <c r="K59" s="4"/>
      <c r="L59" s="4"/>
      <c r="M59" s="4"/>
      <c r="N59" s="4"/>
      <c r="O59" s="4"/>
      <c r="P59" s="4">
        <f t="shared" si="23"/>
        <v>2585529</v>
      </c>
      <c r="Q59" s="4">
        <f t="shared" si="24"/>
        <v>748800</v>
      </c>
      <c r="R59" s="4">
        <f t="shared" si="4"/>
        <v>3334329</v>
      </c>
    </row>
    <row r="60" spans="1:20" s="14" customFormat="1" ht="12" x14ac:dyDescent="0.2">
      <c r="A60" s="1"/>
      <c r="B60" s="2"/>
      <c r="C60" s="2"/>
      <c r="D60" s="68" t="s">
        <v>470</v>
      </c>
      <c r="E60" s="4">
        <v>2809400</v>
      </c>
      <c r="F60" s="4">
        <f t="shared" si="22"/>
        <v>0</v>
      </c>
      <c r="G60" s="4"/>
      <c r="H60" s="4"/>
      <c r="I60" s="4">
        <f t="shared" si="21"/>
        <v>2809400</v>
      </c>
      <c r="J60" s="4"/>
      <c r="K60" s="4"/>
      <c r="L60" s="4"/>
      <c r="M60" s="4"/>
      <c r="N60" s="4"/>
      <c r="O60" s="4"/>
      <c r="P60" s="4">
        <f t="shared" si="23"/>
        <v>2809400</v>
      </c>
      <c r="Q60" s="4">
        <f t="shared" si="24"/>
        <v>0</v>
      </c>
      <c r="R60" s="4">
        <f t="shared" si="4"/>
        <v>2809400</v>
      </c>
    </row>
    <row r="61" spans="1:20" s="13" customFormat="1" ht="24" x14ac:dyDescent="0.2">
      <c r="A61" s="16" t="s">
        <v>134</v>
      </c>
      <c r="B61" s="10"/>
      <c r="C61" s="10"/>
      <c r="D61" s="17" t="s">
        <v>419</v>
      </c>
      <c r="E61" s="12">
        <f>E63+E64+E70+E82+E84+E85+E89+E90+E98+E99+E100+E101+E91+E96</f>
        <v>1170846553</v>
      </c>
      <c r="F61" s="12">
        <f>F63+F64+F70+F82+F84+F85+F89+F90+F98+F99+F100+F101+F91+F96</f>
        <v>72891886</v>
      </c>
      <c r="G61" s="12">
        <f>G63+G64+G70+G82+G84+G85+G89+G90+G98+G99+G100+G101+G91+G96</f>
        <v>72891886</v>
      </c>
      <c r="H61" s="12">
        <f>H63+H64+H70+H82+H84+H85+H89+H90+H98+H99+H100+H101+H91+H96</f>
        <v>0</v>
      </c>
      <c r="I61" s="12">
        <f>I63+I64+I70+I82+I84+I85+I89+I90+I98+I99+I100+I101+I91+I96</f>
        <v>1243738439</v>
      </c>
      <c r="J61" s="12">
        <f t="shared" ref="J61:N61" si="25">J63+J64+J70+J82+J84+J85+J89+J90+J98+J99+J100+J101+J91+J102</f>
        <v>72577228</v>
      </c>
      <c r="K61" s="12">
        <f>K63+K64+K70+K82+K84+K85+K89+K90+K98+K99+K100+K101+K91+K102</f>
        <v>-198695</v>
      </c>
      <c r="L61" s="12">
        <f t="shared" si="25"/>
        <v>-198695</v>
      </c>
      <c r="M61" s="12">
        <f t="shared" si="25"/>
        <v>0</v>
      </c>
      <c r="N61" s="12">
        <f t="shared" si="25"/>
        <v>-198695</v>
      </c>
      <c r="O61" s="12">
        <f>O63+O64+O70+O82+O84+O85+O89+O90+O98+O99+O100+O101+O91+O102</f>
        <v>72378533</v>
      </c>
      <c r="P61" s="12">
        <f>E61+J61</f>
        <v>1243423781</v>
      </c>
      <c r="Q61" s="12">
        <f t="shared" si="3"/>
        <v>72693191</v>
      </c>
      <c r="R61" s="12">
        <f t="shared" si="4"/>
        <v>1316116972</v>
      </c>
    </row>
    <row r="62" spans="1:20" s="13" customFormat="1" ht="24" x14ac:dyDescent="0.2">
      <c r="A62" s="16" t="s">
        <v>164</v>
      </c>
      <c r="B62" s="10"/>
      <c r="C62" s="10"/>
      <c r="D62" s="17" t="s">
        <v>419</v>
      </c>
      <c r="E62" s="12"/>
      <c r="F62" s="12"/>
      <c r="G62" s="12"/>
      <c r="H62" s="12"/>
      <c r="I62" s="12">
        <f t="shared" ref="I62:I101" si="26">E62+F62</f>
        <v>0</v>
      </c>
      <c r="J62" s="4"/>
      <c r="K62" s="4"/>
      <c r="L62" s="12"/>
      <c r="M62" s="12"/>
      <c r="N62" s="12"/>
      <c r="O62" s="12"/>
      <c r="P62" s="12">
        <f t="shared" si="2"/>
        <v>0</v>
      </c>
      <c r="Q62" s="4">
        <f t="shared" si="3"/>
        <v>0</v>
      </c>
      <c r="R62" s="4">
        <f t="shared" si="4"/>
        <v>0</v>
      </c>
    </row>
    <row r="63" spans="1:20" s="14" customFormat="1" ht="12" x14ac:dyDescent="0.2">
      <c r="A63" s="1" t="s">
        <v>165</v>
      </c>
      <c r="B63" s="2" t="s">
        <v>81</v>
      </c>
      <c r="C63" s="2" t="s">
        <v>34</v>
      </c>
      <c r="D63" s="3" t="s">
        <v>11</v>
      </c>
      <c r="E63" s="4">
        <v>4872500</v>
      </c>
      <c r="F63" s="4">
        <f t="shared" ref="F63:F101" si="27">G63</f>
        <v>-147000</v>
      </c>
      <c r="G63" s="4">
        <f>-147000</f>
        <v>-147000</v>
      </c>
      <c r="H63" s="4"/>
      <c r="I63" s="4">
        <f>E63+F63</f>
        <v>4725500</v>
      </c>
      <c r="J63" s="4">
        <v>0</v>
      </c>
      <c r="K63" s="4">
        <f t="shared" ref="K63:K101" si="28">M63+N63</f>
        <v>0</v>
      </c>
      <c r="L63" s="4"/>
      <c r="M63" s="4"/>
      <c r="N63" s="4"/>
      <c r="O63" s="4">
        <f t="shared" ref="O63:O102" si="29">J63+K63</f>
        <v>0</v>
      </c>
      <c r="P63" s="4">
        <f t="shared" si="2"/>
        <v>4872500</v>
      </c>
      <c r="Q63" s="4">
        <f t="shared" si="3"/>
        <v>-147000</v>
      </c>
      <c r="R63" s="4">
        <f t="shared" si="4"/>
        <v>4725500</v>
      </c>
      <c r="S63" s="18"/>
    </row>
    <row r="64" spans="1:20" s="14" customFormat="1" ht="12" x14ac:dyDescent="0.2">
      <c r="A64" s="1" t="s">
        <v>166</v>
      </c>
      <c r="B64" s="2">
        <v>1010</v>
      </c>
      <c r="C64" s="2" t="s">
        <v>47</v>
      </c>
      <c r="D64" s="3" t="s">
        <v>102</v>
      </c>
      <c r="E64" s="4">
        <v>253944804</v>
      </c>
      <c r="F64" s="4">
        <f t="shared" si="27"/>
        <v>12668703</v>
      </c>
      <c r="G64" s="4">
        <f>-2200-837800-1100000-473200+14063700-144800+500+32288+2115-11000-1366000+2505100</f>
        <v>12668703</v>
      </c>
      <c r="H64" s="4"/>
      <c r="I64" s="4">
        <f t="shared" si="26"/>
        <v>266613507</v>
      </c>
      <c r="J64" s="4">
        <v>25184395</v>
      </c>
      <c r="K64" s="4">
        <f t="shared" si="28"/>
        <v>-419827</v>
      </c>
      <c r="L64" s="4">
        <f>-100000+49990-369817</f>
        <v>-419827</v>
      </c>
      <c r="M64" s="4"/>
      <c r="N64" s="4">
        <f>-100000+49990-369817</f>
        <v>-419827</v>
      </c>
      <c r="O64" s="4">
        <f t="shared" si="29"/>
        <v>24764568</v>
      </c>
      <c r="P64" s="4">
        <f t="shared" si="2"/>
        <v>279129199</v>
      </c>
      <c r="Q64" s="4">
        <f t="shared" si="3"/>
        <v>12248876</v>
      </c>
      <c r="R64" s="4">
        <f t="shared" si="4"/>
        <v>291378075</v>
      </c>
      <c r="S64" s="19"/>
      <c r="T64" s="19"/>
    </row>
    <row r="65" spans="1:20" s="14" customFormat="1" ht="51" customHeight="1" x14ac:dyDescent="0.2">
      <c r="A65" s="1"/>
      <c r="B65" s="2"/>
      <c r="C65" s="2"/>
      <c r="D65" s="69" t="s">
        <v>401</v>
      </c>
      <c r="E65" s="4">
        <v>909500</v>
      </c>
      <c r="F65" s="4">
        <f t="shared" si="27"/>
        <v>-2200</v>
      </c>
      <c r="G65" s="4">
        <v>-2200</v>
      </c>
      <c r="H65" s="4"/>
      <c r="I65" s="4">
        <f t="shared" si="26"/>
        <v>907300</v>
      </c>
      <c r="J65" s="4">
        <v>333100</v>
      </c>
      <c r="K65" s="4">
        <f>M65+N65</f>
        <v>0</v>
      </c>
      <c r="L65" s="4"/>
      <c r="M65" s="4"/>
      <c r="N65" s="4"/>
      <c r="O65" s="4">
        <f t="shared" si="29"/>
        <v>333100</v>
      </c>
      <c r="P65" s="4">
        <f t="shared" si="2"/>
        <v>1242600</v>
      </c>
      <c r="Q65" s="4">
        <f t="shared" si="3"/>
        <v>-2200</v>
      </c>
      <c r="R65" s="4">
        <f t="shared" si="4"/>
        <v>1240400</v>
      </c>
      <c r="S65" s="19"/>
      <c r="T65" s="19"/>
    </row>
    <row r="66" spans="1:20" s="14" customFormat="1" ht="17.25" customHeight="1" x14ac:dyDescent="0.2">
      <c r="A66" s="1"/>
      <c r="B66" s="2"/>
      <c r="C66" s="2"/>
      <c r="D66" s="66" t="s">
        <v>520</v>
      </c>
      <c r="E66" s="4">
        <v>27000</v>
      </c>
      <c r="F66" s="4">
        <f t="shared" si="27"/>
        <v>0</v>
      </c>
      <c r="G66" s="4"/>
      <c r="H66" s="4"/>
      <c r="I66" s="4">
        <f t="shared" si="26"/>
        <v>27000</v>
      </c>
      <c r="J66" s="4"/>
      <c r="K66" s="4"/>
      <c r="L66" s="4"/>
      <c r="M66" s="4"/>
      <c r="N66" s="4"/>
      <c r="O66" s="4">
        <f t="shared" si="29"/>
        <v>0</v>
      </c>
      <c r="P66" s="4">
        <f t="shared" si="2"/>
        <v>27000</v>
      </c>
      <c r="Q66" s="4">
        <f t="shared" si="3"/>
        <v>0</v>
      </c>
      <c r="R66" s="4">
        <f t="shared" si="4"/>
        <v>27000</v>
      </c>
      <c r="S66" s="19"/>
      <c r="T66" s="19"/>
    </row>
    <row r="67" spans="1:20" s="14" customFormat="1" ht="19.5" customHeight="1" x14ac:dyDescent="0.2">
      <c r="A67" s="1"/>
      <c r="B67" s="2"/>
      <c r="C67" s="2"/>
      <c r="D67" s="66" t="s">
        <v>478</v>
      </c>
      <c r="E67" s="4">
        <v>650000</v>
      </c>
      <c r="F67" s="4">
        <f t="shared" si="27"/>
        <v>0</v>
      </c>
      <c r="G67" s="4"/>
      <c r="H67" s="4"/>
      <c r="I67" s="4">
        <f t="shared" si="26"/>
        <v>650000</v>
      </c>
      <c r="J67" s="4">
        <v>249172</v>
      </c>
      <c r="K67" s="4"/>
      <c r="L67" s="4"/>
      <c r="M67" s="4"/>
      <c r="N67" s="4"/>
      <c r="O67" s="4">
        <f t="shared" si="29"/>
        <v>249172</v>
      </c>
      <c r="P67" s="4">
        <f t="shared" si="2"/>
        <v>899172</v>
      </c>
      <c r="Q67" s="4">
        <f t="shared" si="3"/>
        <v>0</v>
      </c>
      <c r="R67" s="4">
        <f t="shared" si="4"/>
        <v>899172</v>
      </c>
      <c r="S67" s="19"/>
      <c r="T67" s="19"/>
    </row>
    <row r="68" spans="1:20" s="14" customFormat="1" ht="19.5" customHeight="1" x14ac:dyDescent="0.2">
      <c r="A68" s="1"/>
      <c r="B68" s="2"/>
      <c r="C68" s="2"/>
      <c r="D68" s="66" t="s">
        <v>479</v>
      </c>
      <c r="E68" s="4">
        <v>100000</v>
      </c>
      <c r="F68" s="4">
        <f t="shared" si="27"/>
        <v>0</v>
      </c>
      <c r="G68" s="4"/>
      <c r="H68" s="4"/>
      <c r="I68" s="4">
        <f t="shared" si="26"/>
        <v>100000</v>
      </c>
      <c r="J68" s="4">
        <v>49980</v>
      </c>
      <c r="K68" s="4"/>
      <c r="L68" s="4"/>
      <c r="M68" s="4"/>
      <c r="N68" s="4"/>
      <c r="O68" s="4">
        <f t="shared" si="29"/>
        <v>49980</v>
      </c>
      <c r="P68" s="4">
        <f t="shared" si="2"/>
        <v>149980</v>
      </c>
      <c r="Q68" s="4">
        <f t="shared" si="3"/>
        <v>0</v>
      </c>
      <c r="R68" s="4">
        <f t="shared" si="4"/>
        <v>149980</v>
      </c>
      <c r="S68" s="19"/>
      <c r="T68" s="19"/>
    </row>
    <row r="69" spans="1:20" s="14" customFormat="1" ht="19.5" customHeight="1" x14ac:dyDescent="0.2">
      <c r="A69" s="1"/>
      <c r="B69" s="2"/>
      <c r="C69" s="2"/>
      <c r="D69" s="66" t="s">
        <v>480</v>
      </c>
      <c r="E69" s="4">
        <v>49000</v>
      </c>
      <c r="F69" s="4">
        <f t="shared" si="27"/>
        <v>0</v>
      </c>
      <c r="G69" s="4"/>
      <c r="H69" s="4"/>
      <c r="I69" s="4">
        <f t="shared" si="26"/>
        <v>49000</v>
      </c>
      <c r="J69" s="4"/>
      <c r="K69" s="4"/>
      <c r="L69" s="4"/>
      <c r="M69" s="4"/>
      <c r="N69" s="4"/>
      <c r="O69" s="4">
        <f t="shared" si="29"/>
        <v>0</v>
      </c>
      <c r="P69" s="4">
        <f t="shared" si="2"/>
        <v>49000</v>
      </c>
      <c r="Q69" s="4">
        <f t="shared" si="3"/>
        <v>0</v>
      </c>
      <c r="R69" s="4">
        <f t="shared" si="4"/>
        <v>49000</v>
      </c>
      <c r="S69" s="19"/>
      <c r="T69" s="19"/>
    </row>
    <row r="70" spans="1:20" s="14" customFormat="1" ht="53.25" customHeight="1" x14ac:dyDescent="0.2">
      <c r="A70" s="1" t="s">
        <v>167</v>
      </c>
      <c r="B70" s="2">
        <v>1020</v>
      </c>
      <c r="C70" s="2" t="s">
        <v>48</v>
      </c>
      <c r="D70" s="3" t="s">
        <v>471</v>
      </c>
      <c r="E70" s="4">
        <v>647426846</v>
      </c>
      <c r="F70" s="4">
        <f t="shared" si="27"/>
        <v>49728153</v>
      </c>
      <c r="G70" s="4">
        <f>2447871+606614+89200+150000+41250+837800+1100000-49900+49900+193100+7240200-884200-833123-137899-80900+80900+60000+12060+25000+30000+14519031+39000-95392+1940+202460+22132005+1951236</f>
        <v>49728153</v>
      </c>
      <c r="H70" s="4"/>
      <c r="I70" s="4">
        <f t="shared" si="26"/>
        <v>697154999</v>
      </c>
      <c r="J70" s="4">
        <v>22977486</v>
      </c>
      <c r="K70" s="4">
        <f t="shared" si="28"/>
        <v>442056</v>
      </c>
      <c r="L70" s="4">
        <f>489893-47837</f>
        <v>442056</v>
      </c>
      <c r="M70" s="4"/>
      <c r="N70" s="4">
        <f>489893-47837</f>
        <v>442056</v>
      </c>
      <c r="O70" s="4">
        <f t="shared" si="29"/>
        <v>23419542</v>
      </c>
      <c r="P70" s="4">
        <f t="shared" si="2"/>
        <v>670404332</v>
      </c>
      <c r="Q70" s="4">
        <f t="shared" si="3"/>
        <v>50170209</v>
      </c>
      <c r="R70" s="4">
        <f t="shared" si="4"/>
        <v>720574541</v>
      </c>
      <c r="S70" s="20"/>
      <c r="T70" s="20"/>
    </row>
    <row r="71" spans="1:20" s="14" customFormat="1" ht="24" x14ac:dyDescent="0.2">
      <c r="A71" s="1"/>
      <c r="B71" s="2"/>
      <c r="C71" s="2"/>
      <c r="D71" s="70" t="s">
        <v>26</v>
      </c>
      <c r="E71" s="4">
        <v>373854700</v>
      </c>
      <c r="F71" s="4">
        <f t="shared" si="27"/>
        <v>3256945</v>
      </c>
      <c r="G71" s="4">
        <f>2447871+606614+202460</f>
        <v>3256945</v>
      </c>
      <c r="H71" s="4"/>
      <c r="I71" s="4">
        <f t="shared" si="26"/>
        <v>377111645</v>
      </c>
      <c r="J71" s="4">
        <v>0</v>
      </c>
      <c r="K71" s="4">
        <f t="shared" si="28"/>
        <v>0</v>
      </c>
      <c r="L71" s="4"/>
      <c r="M71" s="4"/>
      <c r="N71" s="4"/>
      <c r="O71" s="4">
        <f t="shared" si="29"/>
        <v>0</v>
      </c>
      <c r="P71" s="4">
        <f t="shared" si="2"/>
        <v>373854700</v>
      </c>
      <c r="Q71" s="4">
        <f t="shared" si="3"/>
        <v>3256945</v>
      </c>
      <c r="R71" s="4">
        <f t="shared" si="4"/>
        <v>377111645</v>
      </c>
    </row>
    <row r="72" spans="1:20" s="14" customFormat="1" ht="36" x14ac:dyDescent="0.2">
      <c r="A72" s="1"/>
      <c r="B72" s="2"/>
      <c r="C72" s="2"/>
      <c r="D72" s="21" t="s">
        <v>495</v>
      </c>
      <c r="E72" s="4">
        <v>6566210</v>
      </c>
      <c r="F72" s="4">
        <f t="shared" si="27"/>
        <v>0</v>
      </c>
      <c r="G72" s="4"/>
      <c r="H72" s="4"/>
      <c r="I72" s="4">
        <f t="shared" si="26"/>
        <v>6566210</v>
      </c>
      <c r="J72" s="4">
        <v>0</v>
      </c>
      <c r="K72" s="4">
        <f t="shared" si="28"/>
        <v>0</v>
      </c>
      <c r="L72" s="4"/>
      <c r="M72" s="4"/>
      <c r="N72" s="4"/>
      <c r="O72" s="4">
        <f t="shared" si="29"/>
        <v>0</v>
      </c>
      <c r="P72" s="4">
        <f t="shared" si="2"/>
        <v>6566210</v>
      </c>
      <c r="Q72" s="4"/>
      <c r="R72" s="4">
        <f t="shared" si="4"/>
        <v>6566210</v>
      </c>
    </row>
    <row r="73" spans="1:20" s="14" customFormat="1" ht="12" x14ac:dyDescent="0.2">
      <c r="A73" s="1"/>
      <c r="B73" s="2"/>
      <c r="C73" s="2"/>
      <c r="D73" s="21" t="s">
        <v>551</v>
      </c>
      <c r="E73" s="4">
        <v>960000</v>
      </c>
      <c r="F73" s="4">
        <f t="shared" si="27"/>
        <v>0</v>
      </c>
      <c r="G73" s="4"/>
      <c r="H73" s="4"/>
      <c r="I73" s="4">
        <f t="shared" si="26"/>
        <v>960000</v>
      </c>
      <c r="J73" s="4"/>
      <c r="K73" s="4"/>
      <c r="L73" s="4"/>
      <c r="M73" s="4"/>
      <c r="N73" s="4"/>
      <c r="O73" s="4"/>
      <c r="P73" s="4"/>
      <c r="Q73" s="4"/>
      <c r="R73" s="4"/>
    </row>
    <row r="74" spans="1:20" s="14" customFormat="1" ht="48" x14ac:dyDescent="0.2">
      <c r="A74" s="1"/>
      <c r="B74" s="2"/>
      <c r="C74" s="2"/>
      <c r="D74" s="21" t="s">
        <v>516</v>
      </c>
      <c r="E74" s="4">
        <v>1278380</v>
      </c>
      <c r="F74" s="4">
        <f t="shared" si="27"/>
        <v>0</v>
      </c>
      <c r="G74" s="4"/>
      <c r="H74" s="4"/>
      <c r="I74" s="4">
        <f t="shared" si="26"/>
        <v>1278380</v>
      </c>
      <c r="J74" s="4">
        <v>15120</v>
      </c>
      <c r="K74" s="4">
        <f t="shared" si="28"/>
        <v>0</v>
      </c>
      <c r="L74" s="4"/>
      <c r="M74" s="4"/>
      <c r="N74" s="4"/>
      <c r="O74" s="4">
        <f t="shared" si="29"/>
        <v>15120</v>
      </c>
      <c r="P74" s="4">
        <f>E74+J74</f>
        <v>1293500</v>
      </c>
      <c r="Q74" s="4"/>
      <c r="R74" s="4">
        <f t="shared" ref="R74:R75" si="30">I74+O74</f>
        <v>1293500</v>
      </c>
    </row>
    <row r="75" spans="1:20" s="14" customFormat="1" ht="24" x14ac:dyDescent="0.2">
      <c r="A75" s="1"/>
      <c r="B75" s="2"/>
      <c r="C75" s="2"/>
      <c r="D75" s="21" t="s">
        <v>517</v>
      </c>
      <c r="E75" s="4"/>
      <c r="F75" s="4"/>
      <c r="G75" s="4"/>
      <c r="H75" s="4"/>
      <c r="I75" s="4"/>
      <c r="J75" s="4">
        <v>1338280</v>
      </c>
      <c r="K75" s="4"/>
      <c r="L75" s="4"/>
      <c r="M75" s="4"/>
      <c r="N75" s="4"/>
      <c r="O75" s="4">
        <f t="shared" si="29"/>
        <v>1338280</v>
      </c>
      <c r="P75" s="4">
        <f t="shared" ref="P75" si="31">E75+J75</f>
        <v>1338280</v>
      </c>
      <c r="Q75" s="4"/>
      <c r="R75" s="4">
        <f t="shared" si="30"/>
        <v>1338280</v>
      </c>
    </row>
    <row r="76" spans="1:20" s="14" customFormat="1" ht="50.25" customHeight="1" x14ac:dyDescent="0.2">
      <c r="A76" s="1"/>
      <c r="B76" s="2"/>
      <c r="C76" s="2"/>
      <c r="D76" s="69" t="s">
        <v>401</v>
      </c>
      <c r="E76" s="4">
        <v>2132817</v>
      </c>
      <c r="F76" s="4">
        <f t="shared" si="27"/>
        <v>89200</v>
      </c>
      <c r="G76" s="4">
        <v>89200</v>
      </c>
      <c r="H76" s="4"/>
      <c r="I76" s="4">
        <f t="shared" si="26"/>
        <v>2222017</v>
      </c>
      <c r="J76" s="4">
        <v>781500</v>
      </c>
      <c r="K76" s="4">
        <f t="shared" si="28"/>
        <v>0</v>
      </c>
      <c r="L76" s="4"/>
      <c r="M76" s="4"/>
      <c r="N76" s="4"/>
      <c r="O76" s="4">
        <f t="shared" si="29"/>
        <v>781500</v>
      </c>
      <c r="P76" s="4">
        <f>E76+J76</f>
        <v>2914317</v>
      </c>
      <c r="Q76" s="4">
        <f t="shared" si="3"/>
        <v>89200</v>
      </c>
      <c r="R76" s="4">
        <f t="shared" si="4"/>
        <v>3003517</v>
      </c>
    </row>
    <row r="77" spans="1:20" s="14" customFormat="1" ht="15.75" customHeight="1" x14ac:dyDescent="0.2">
      <c r="A77" s="1"/>
      <c r="B77" s="2"/>
      <c r="C77" s="2"/>
      <c r="D77" s="66" t="s">
        <v>476</v>
      </c>
      <c r="E77" s="4">
        <v>197269</v>
      </c>
      <c r="F77" s="4">
        <f t="shared" si="27"/>
        <v>0</v>
      </c>
      <c r="G77" s="4"/>
      <c r="H77" s="4"/>
      <c r="I77" s="4">
        <f t="shared" si="26"/>
        <v>197269</v>
      </c>
      <c r="J77" s="4">
        <v>307000</v>
      </c>
      <c r="K77" s="4">
        <f t="shared" si="28"/>
        <v>0</v>
      </c>
      <c r="L77" s="4"/>
      <c r="M77" s="4"/>
      <c r="N77" s="4"/>
      <c r="O77" s="4">
        <f t="shared" si="29"/>
        <v>307000</v>
      </c>
      <c r="P77" s="4">
        <f>E77+J77</f>
        <v>504269</v>
      </c>
      <c r="Q77" s="4">
        <f t="shared" ref="Q77" si="32">F77+K77</f>
        <v>0</v>
      </c>
      <c r="R77" s="4">
        <f t="shared" ref="R77" si="33">I77+O77</f>
        <v>504269</v>
      </c>
    </row>
    <row r="78" spans="1:20" s="14" customFormat="1" ht="15" customHeight="1" x14ac:dyDescent="0.2">
      <c r="A78" s="1"/>
      <c r="B78" s="2"/>
      <c r="C78" s="2"/>
      <c r="D78" s="66" t="s">
        <v>477</v>
      </c>
      <c r="E78" s="4">
        <v>42800</v>
      </c>
      <c r="F78" s="4">
        <f t="shared" si="27"/>
        <v>0</v>
      </c>
      <c r="G78" s="4"/>
      <c r="H78" s="4"/>
      <c r="I78" s="4">
        <f t="shared" si="26"/>
        <v>42800</v>
      </c>
      <c r="J78" s="4"/>
      <c r="K78" s="4">
        <f t="shared" si="28"/>
        <v>0</v>
      </c>
      <c r="L78" s="4"/>
      <c r="M78" s="4"/>
      <c r="N78" s="4"/>
      <c r="O78" s="4">
        <f t="shared" si="29"/>
        <v>0</v>
      </c>
      <c r="P78" s="4">
        <f t="shared" ref="P78:P81" si="34">E78+J78</f>
        <v>42800</v>
      </c>
      <c r="Q78" s="4">
        <f t="shared" ref="Q78:Q81" si="35">F78+K78</f>
        <v>0</v>
      </c>
      <c r="R78" s="4">
        <f t="shared" ref="R78:R81" si="36">I78+O78</f>
        <v>42800</v>
      </c>
    </row>
    <row r="79" spans="1:20" s="14" customFormat="1" ht="14.25" customHeight="1" x14ac:dyDescent="0.2">
      <c r="A79" s="1"/>
      <c r="B79" s="2"/>
      <c r="C79" s="2"/>
      <c r="D79" s="66" t="s">
        <v>478</v>
      </c>
      <c r="E79" s="4">
        <v>663269</v>
      </c>
      <c r="F79" s="4">
        <f t="shared" si="27"/>
        <v>0</v>
      </c>
      <c r="G79" s="4"/>
      <c r="H79" s="4"/>
      <c r="I79" s="4">
        <f t="shared" si="26"/>
        <v>663269</v>
      </c>
      <c r="J79" s="4">
        <v>823237</v>
      </c>
      <c r="K79" s="4">
        <f t="shared" si="28"/>
        <v>0</v>
      </c>
      <c r="L79" s="4"/>
      <c r="M79" s="4"/>
      <c r="N79" s="4"/>
      <c r="O79" s="4">
        <f t="shared" si="29"/>
        <v>823237</v>
      </c>
      <c r="P79" s="4">
        <f t="shared" si="34"/>
        <v>1486506</v>
      </c>
      <c r="Q79" s="4">
        <f t="shared" si="35"/>
        <v>0</v>
      </c>
      <c r="R79" s="4">
        <f t="shared" si="36"/>
        <v>1486506</v>
      </c>
    </row>
    <row r="80" spans="1:20" s="14" customFormat="1" ht="14.25" customHeight="1" x14ac:dyDescent="0.2">
      <c r="A80" s="1"/>
      <c r="B80" s="2"/>
      <c r="C80" s="2"/>
      <c r="D80" s="66" t="s">
        <v>479</v>
      </c>
      <c r="E80" s="4">
        <v>0</v>
      </c>
      <c r="F80" s="4">
        <f t="shared" si="27"/>
        <v>0</v>
      </c>
      <c r="G80" s="4"/>
      <c r="H80" s="4"/>
      <c r="I80" s="4">
        <f t="shared" si="26"/>
        <v>0</v>
      </c>
      <c r="J80" s="4"/>
      <c r="K80" s="4">
        <f t="shared" si="28"/>
        <v>0</v>
      </c>
      <c r="L80" s="4"/>
      <c r="M80" s="4"/>
      <c r="N80" s="4"/>
      <c r="O80" s="4">
        <f t="shared" si="29"/>
        <v>0</v>
      </c>
      <c r="P80" s="4">
        <f t="shared" si="34"/>
        <v>0</v>
      </c>
      <c r="Q80" s="4">
        <f t="shared" si="35"/>
        <v>0</v>
      </c>
      <c r="R80" s="4">
        <f t="shared" si="36"/>
        <v>0</v>
      </c>
    </row>
    <row r="81" spans="1:21" s="14" customFormat="1" ht="14.25" customHeight="1" x14ac:dyDescent="0.2">
      <c r="A81" s="1"/>
      <c r="B81" s="2"/>
      <c r="C81" s="2"/>
      <c r="D81" s="66" t="s">
        <v>480</v>
      </c>
      <c r="E81" s="4">
        <v>0</v>
      </c>
      <c r="F81" s="4">
        <f t="shared" si="27"/>
        <v>0</v>
      </c>
      <c r="G81" s="4"/>
      <c r="H81" s="4"/>
      <c r="I81" s="4">
        <f t="shared" si="26"/>
        <v>0</v>
      </c>
      <c r="J81" s="4"/>
      <c r="K81" s="4">
        <f t="shared" si="28"/>
        <v>150000</v>
      </c>
      <c r="L81" s="4">
        <v>150000</v>
      </c>
      <c r="M81" s="4"/>
      <c r="N81" s="4">
        <v>150000</v>
      </c>
      <c r="O81" s="4">
        <f t="shared" si="29"/>
        <v>150000</v>
      </c>
      <c r="P81" s="4">
        <f t="shared" si="34"/>
        <v>0</v>
      </c>
      <c r="Q81" s="4">
        <f t="shared" si="35"/>
        <v>150000</v>
      </c>
      <c r="R81" s="4">
        <f t="shared" si="36"/>
        <v>150000</v>
      </c>
    </row>
    <row r="82" spans="1:21" s="14" customFormat="1" ht="48" x14ac:dyDescent="0.2">
      <c r="A82" s="1" t="s">
        <v>168</v>
      </c>
      <c r="B82" s="2">
        <v>1070</v>
      </c>
      <c r="C82" s="2" t="s">
        <v>49</v>
      </c>
      <c r="D82" s="71" t="s">
        <v>472</v>
      </c>
      <c r="E82" s="4">
        <v>21528526</v>
      </c>
      <c r="F82" s="4">
        <f t="shared" si="27"/>
        <v>385916</v>
      </c>
      <c r="G82" s="4">
        <f>-1296737+207335+9600+438600+322588+306785-149376-5493-10631+563245</f>
        <v>385916</v>
      </c>
      <c r="H82" s="4"/>
      <c r="I82" s="4">
        <f t="shared" si="26"/>
        <v>21914442</v>
      </c>
      <c r="J82" s="4">
        <v>457371</v>
      </c>
      <c r="K82" s="4">
        <f t="shared" si="28"/>
        <v>0</v>
      </c>
      <c r="L82" s="4"/>
      <c r="M82" s="4"/>
      <c r="N82" s="4"/>
      <c r="O82" s="4">
        <f t="shared" si="29"/>
        <v>457371</v>
      </c>
      <c r="P82" s="4">
        <f t="shared" si="2"/>
        <v>21985897</v>
      </c>
      <c r="Q82" s="4">
        <f t="shared" si="3"/>
        <v>385916</v>
      </c>
      <c r="R82" s="4">
        <f t="shared" si="4"/>
        <v>22371813</v>
      </c>
      <c r="U82" s="18"/>
    </row>
    <row r="83" spans="1:21" s="14" customFormat="1" ht="24" x14ac:dyDescent="0.2">
      <c r="A83" s="1"/>
      <c r="B83" s="2"/>
      <c r="C83" s="2"/>
      <c r="D83" s="69" t="s">
        <v>26</v>
      </c>
      <c r="E83" s="4">
        <v>11317300</v>
      </c>
      <c r="F83" s="4">
        <f t="shared" si="27"/>
        <v>-1100033</v>
      </c>
      <c r="G83" s="4">
        <f>-1296737+207335-10631</f>
        <v>-1100033</v>
      </c>
      <c r="H83" s="4"/>
      <c r="I83" s="4">
        <f t="shared" si="26"/>
        <v>10217267</v>
      </c>
      <c r="J83" s="4">
        <v>0</v>
      </c>
      <c r="K83" s="4">
        <f t="shared" si="28"/>
        <v>0</v>
      </c>
      <c r="L83" s="4"/>
      <c r="M83" s="4"/>
      <c r="N83" s="4"/>
      <c r="O83" s="4">
        <f t="shared" si="29"/>
        <v>0</v>
      </c>
      <c r="P83" s="4">
        <f t="shared" si="2"/>
        <v>11317300</v>
      </c>
      <c r="Q83" s="4">
        <f t="shared" si="3"/>
        <v>-1100033</v>
      </c>
      <c r="R83" s="4">
        <f t="shared" si="4"/>
        <v>10217267</v>
      </c>
    </row>
    <row r="84" spans="1:21" s="14" customFormat="1" ht="24" x14ac:dyDescent="0.2">
      <c r="A84" s="1" t="s">
        <v>169</v>
      </c>
      <c r="B84" s="2">
        <v>1090</v>
      </c>
      <c r="C84" s="2" t="s">
        <v>50</v>
      </c>
      <c r="D84" s="71" t="s">
        <v>500</v>
      </c>
      <c r="E84" s="4">
        <v>25115467</v>
      </c>
      <c r="F84" s="4">
        <f t="shared" si="27"/>
        <v>1813177</v>
      </c>
      <c r="G84" s="4">
        <f>24800+1609100+5019-3842+178100</f>
        <v>1813177</v>
      </c>
      <c r="H84" s="4"/>
      <c r="I84" s="4">
        <f t="shared" si="26"/>
        <v>26928644</v>
      </c>
      <c r="J84" s="4">
        <v>4120757</v>
      </c>
      <c r="K84" s="4">
        <f t="shared" si="28"/>
        <v>-65469</v>
      </c>
      <c r="L84" s="4">
        <f>7485-72954</f>
        <v>-65469</v>
      </c>
      <c r="M84" s="4"/>
      <c r="N84" s="4">
        <f>7485-72954</f>
        <v>-65469</v>
      </c>
      <c r="O84" s="4">
        <f t="shared" si="29"/>
        <v>4055288</v>
      </c>
      <c r="P84" s="4">
        <f t="shared" si="2"/>
        <v>29236224</v>
      </c>
      <c r="Q84" s="4">
        <f t="shared" si="3"/>
        <v>1747708</v>
      </c>
      <c r="R84" s="4">
        <f t="shared" si="4"/>
        <v>30983932</v>
      </c>
    </row>
    <row r="85" spans="1:21" s="14" customFormat="1" ht="40.5" customHeight="1" x14ac:dyDescent="0.2">
      <c r="A85" s="1" t="s">
        <v>170</v>
      </c>
      <c r="B85" s="2" t="s">
        <v>103</v>
      </c>
      <c r="C85" s="2" t="s">
        <v>25</v>
      </c>
      <c r="D85" s="71" t="s">
        <v>473</v>
      </c>
      <c r="E85" s="4">
        <v>152053705</v>
      </c>
      <c r="F85" s="4">
        <f t="shared" si="27"/>
        <v>3580488</v>
      </c>
      <c r="G85" s="4">
        <f>-1151134+278400+1348400-2709400+3500000+510535-813949+43900+506483-2000-191829+1090050+1077400+93632</f>
        <v>3580488</v>
      </c>
      <c r="H85" s="4"/>
      <c r="I85" s="4">
        <f t="shared" si="26"/>
        <v>155634193</v>
      </c>
      <c r="J85" s="4">
        <v>16655040</v>
      </c>
      <c r="K85" s="4">
        <f t="shared" si="28"/>
        <v>-177532</v>
      </c>
      <c r="L85" s="4">
        <f>-43900-40000-93632</f>
        <v>-177532</v>
      </c>
      <c r="M85" s="4"/>
      <c r="N85" s="4">
        <f>-43900-40000-93632</f>
        <v>-177532</v>
      </c>
      <c r="O85" s="4">
        <f t="shared" si="29"/>
        <v>16477508</v>
      </c>
      <c r="P85" s="4">
        <f t="shared" si="2"/>
        <v>168708745</v>
      </c>
      <c r="Q85" s="4">
        <f t="shared" si="3"/>
        <v>3402956</v>
      </c>
      <c r="R85" s="4">
        <f t="shared" si="4"/>
        <v>172111701</v>
      </c>
    </row>
    <row r="86" spans="1:21" s="14" customFormat="1" ht="24" x14ac:dyDescent="0.2">
      <c r="A86" s="1"/>
      <c r="B86" s="2"/>
      <c r="C86" s="2"/>
      <c r="D86" s="69" t="s">
        <v>26</v>
      </c>
      <c r="E86" s="4">
        <v>19088600</v>
      </c>
      <c r="F86" s="4">
        <f t="shared" si="27"/>
        <v>-2156912</v>
      </c>
      <c r="G86" s="4">
        <f>-1151134-813949-191829</f>
        <v>-2156912</v>
      </c>
      <c r="H86" s="4"/>
      <c r="I86" s="4">
        <f t="shared" si="26"/>
        <v>16931688</v>
      </c>
      <c r="J86" s="4">
        <v>0</v>
      </c>
      <c r="K86" s="4">
        <f t="shared" si="28"/>
        <v>0</v>
      </c>
      <c r="L86" s="4"/>
      <c r="M86" s="4"/>
      <c r="N86" s="4"/>
      <c r="O86" s="4">
        <f t="shared" si="29"/>
        <v>0</v>
      </c>
      <c r="P86" s="4">
        <f t="shared" si="2"/>
        <v>19088600</v>
      </c>
      <c r="Q86" s="4">
        <f t="shared" si="3"/>
        <v>-2156912</v>
      </c>
      <c r="R86" s="4">
        <f t="shared" si="4"/>
        <v>16931688</v>
      </c>
    </row>
    <row r="87" spans="1:21" s="14" customFormat="1" ht="48" x14ac:dyDescent="0.2">
      <c r="A87" s="1"/>
      <c r="B87" s="2"/>
      <c r="C87" s="2"/>
      <c r="D87" s="69" t="s">
        <v>538</v>
      </c>
      <c r="E87" s="4">
        <v>88600</v>
      </c>
      <c r="F87" s="4">
        <f t="shared" si="27"/>
        <v>93632</v>
      </c>
      <c r="G87" s="4">
        <f>93632</f>
        <v>93632</v>
      </c>
      <c r="H87" s="4"/>
      <c r="I87" s="4">
        <f t="shared" si="26"/>
        <v>182232</v>
      </c>
      <c r="J87" s="4">
        <v>2854000</v>
      </c>
      <c r="K87" s="4">
        <f t="shared" si="28"/>
        <v>-93632</v>
      </c>
      <c r="L87" s="4">
        <v>-93632</v>
      </c>
      <c r="M87" s="4"/>
      <c r="N87" s="4">
        <v>-93632</v>
      </c>
      <c r="O87" s="4">
        <f t="shared" ref="O87" si="37">J87+K87</f>
        <v>2760368</v>
      </c>
      <c r="P87" s="4">
        <f t="shared" si="2"/>
        <v>2942600</v>
      </c>
      <c r="Q87" s="4">
        <f t="shared" ref="Q87" si="38">F87+K87</f>
        <v>0</v>
      </c>
      <c r="R87" s="4">
        <f t="shared" ref="R87" si="39">I87+O87</f>
        <v>2942600</v>
      </c>
    </row>
    <row r="88" spans="1:21" s="14" customFormat="1" ht="37.5" customHeight="1" x14ac:dyDescent="0.2">
      <c r="A88" s="1"/>
      <c r="B88" s="2"/>
      <c r="C88" s="2"/>
      <c r="D88" s="69" t="s">
        <v>510</v>
      </c>
      <c r="E88" s="4">
        <v>998600</v>
      </c>
      <c r="F88" s="4">
        <f t="shared" si="27"/>
        <v>0</v>
      </c>
      <c r="G88" s="4"/>
      <c r="H88" s="4"/>
      <c r="I88" s="4">
        <f t="shared" si="26"/>
        <v>998600</v>
      </c>
      <c r="J88" s="4"/>
      <c r="K88" s="4"/>
      <c r="L88" s="4"/>
      <c r="M88" s="4"/>
      <c r="N88" s="4"/>
      <c r="O88" s="4"/>
      <c r="P88" s="4">
        <f t="shared" si="2"/>
        <v>998600</v>
      </c>
      <c r="Q88" s="4">
        <f t="shared" si="3"/>
        <v>0</v>
      </c>
      <c r="R88" s="4">
        <f t="shared" si="4"/>
        <v>998600</v>
      </c>
    </row>
    <row r="89" spans="1:21" s="14" customFormat="1" ht="24" x14ac:dyDescent="0.2">
      <c r="A89" s="1" t="s">
        <v>171</v>
      </c>
      <c r="B89" s="2">
        <v>1140</v>
      </c>
      <c r="C89" s="2" t="s">
        <v>51</v>
      </c>
      <c r="D89" s="71" t="s">
        <v>104</v>
      </c>
      <c r="E89" s="4">
        <v>57000</v>
      </c>
      <c r="F89" s="4">
        <f t="shared" si="27"/>
        <v>0</v>
      </c>
      <c r="G89" s="4"/>
      <c r="H89" s="4"/>
      <c r="I89" s="4">
        <f t="shared" si="26"/>
        <v>57000</v>
      </c>
      <c r="J89" s="4">
        <v>0</v>
      </c>
      <c r="K89" s="4">
        <f t="shared" si="28"/>
        <v>0</v>
      </c>
      <c r="L89" s="4"/>
      <c r="M89" s="4"/>
      <c r="N89" s="4"/>
      <c r="O89" s="4">
        <f t="shared" si="29"/>
        <v>0</v>
      </c>
      <c r="P89" s="4">
        <f t="shared" si="2"/>
        <v>57000</v>
      </c>
      <c r="Q89" s="4">
        <f t="shared" si="3"/>
        <v>0</v>
      </c>
      <c r="R89" s="4">
        <f t="shared" si="4"/>
        <v>57000</v>
      </c>
    </row>
    <row r="90" spans="1:21" s="14" customFormat="1" ht="12" x14ac:dyDescent="0.2">
      <c r="A90" s="1" t="s">
        <v>172</v>
      </c>
      <c r="B90" s="2" t="s">
        <v>105</v>
      </c>
      <c r="C90" s="2" t="s">
        <v>52</v>
      </c>
      <c r="D90" s="71" t="s">
        <v>474</v>
      </c>
      <c r="E90" s="4">
        <v>4583412</v>
      </c>
      <c r="F90" s="4">
        <f t="shared" si="27"/>
        <v>415250</v>
      </c>
      <c r="G90" s="4">
        <f>3600+265200+146450</f>
        <v>415250</v>
      </c>
      <c r="H90" s="4"/>
      <c r="I90" s="4">
        <f t="shared" si="26"/>
        <v>4998662</v>
      </c>
      <c r="J90" s="4">
        <v>100000</v>
      </c>
      <c r="K90" s="4">
        <f t="shared" si="28"/>
        <v>0</v>
      </c>
      <c r="L90" s="4"/>
      <c r="M90" s="4"/>
      <c r="N90" s="4"/>
      <c r="O90" s="4">
        <f t="shared" si="29"/>
        <v>100000</v>
      </c>
      <c r="P90" s="4">
        <f t="shared" si="2"/>
        <v>4683412</v>
      </c>
      <c r="Q90" s="4">
        <f t="shared" si="3"/>
        <v>415250</v>
      </c>
      <c r="R90" s="4">
        <f t="shared" si="4"/>
        <v>5098662</v>
      </c>
    </row>
    <row r="91" spans="1:21" s="14" customFormat="1" ht="12" x14ac:dyDescent="0.2">
      <c r="A91" s="1" t="s">
        <v>173</v>
      </c>
      <c r="B91" s="2" t="s">
        <v>106</v>
      </c>
      <c r="C91" s="2"/>
      <c r="D91" s="3" t="s">
        <v>245</v>
      </c>
      <c r="E91" s="4">
        <v>25978548</v>
      </c>
      <c r="F91" s="4">
        <f t="shared" si="27"/>
        <v>2018280</v>
      </c>
      <c r="G91" s="4">
        <f>G92+G93</f>
        <v>2018280</v>
      </c>
      <c r="H91" s="4"/>
      <c r="I91" s="4">
        <f t="shared" si="26"/>
        <v>27996828</v>
      </c>
      <c r="J91" s="4">
        <v>972489</v>
      </c>
      <c r="K91" s="4">
        <f>SUM(K92:K93)</f>
        <v>-23</v>
      </c>
      <c r="L91" s="4">
        <f t="shared" ref="L91" si="40">SUM(L92:L93)</f>
        <v>-23</v>
      </c>
      <c r="M91" s="4">
        <f t="shared" ref="M91:O91" si="41">SUM(M92:M93)</f>
        <v>0</v>
      </c>
      <c r="N91" s="4">
        <f t="shared" si="41"/>
        <v>-23</v>
      </c>
      <c r="O91" s="4">
        <f t="shared" si="41"/>
        <v>972466</v>
      </c>
      <c r="P91" s="4">
        <f>E91+J91</f>
        <v>26951037</v>
      </c>
      <c r="Q91" s="4">
        <f t="shared" si="3"/>
        <v>2018257</v>
      </c>
      <c r="R91" s="4">
        <f t="shared" si="4"/>
        <v>28969294</v>
      </c>
    </row>
    <row r="92" spans="1:21" s="14" customFormat="1" ht="24" x14ac:dyDescent="0.2">
      <c r="A92" s="1" t="s">
        <v>365</v>
      </c>
      <c r="B92" s="2" t="s">
        <v>367</v>
      </c>
      <c r="C92" s="2" t="s">
        <v>52</v>
      </c>
      <c r="D92" s="3" t="s">
        <v>369</v>
      </c>
      <c r="E92" s="4">
        <v>25295740</v>
      </c>
      <c r="F92" s="4">
        <f t="shared" si="27"/>
        <v>2273280</v>
      </c>
      <c r="G92" s="4">
        <f>281400+1414800-28000-19270+624350</f>
        <v>2273280</v>
      </c>
      <c r="H92" s="4"/>
      <c r="I92" s="4">
        <f t="shared" si="26"/>
        <v>27569020</v>
      </c>
      <c r="J92" s="4">
        <v>500000</v>
      </c>
      <c r="K92" s="4">
        <f t="shared" si="28"/>
        <v>24000</v>
      </c>
      <c r="L92" s="4">
        <f>24000</f>
        <v>24000</v>
      </c>
      <c r="M92" s="4"/>
      <c r="N92" s="4">
        <f>24000</f>
        <v>24000</v>
      </c>
      <c r="O92" s="4">
        <f t="shared" si="29"/>
        <v>524000</v>
      </c>
      <c r="P92" s="4">
        <f t="shared" si="2"/>
        <v>25795740</v>
      </c>
      <c r="Q92" s="4">
        <f t="shared" si="3"/>
        <v>2297280</v>
      </c>
      <c r="R92" s="4">
        <f t="shared" si="4"/>
        <v>28093020</v>
      </c>
    </row>
    <row r="93" spans="1:21" s="14" customFormat="1" ht="12" x14ac:dyDescent="0.2">
      <c r="A93" s="1" t="s">
        <v>366</v>
      </c>
      <c r="B93" s="2" t="s">
        <v>368</v>
      </c>
      <c r="C93" s="2" t="s">
        <v>52</v>
      </c>
      <c r="D93" s="3" t="s">
        <v>370</v>
      </c>
      <c r="E93" s="4">
        <v>682808</v>
      </c>
      <c r="F93" s="4">
        <f t="shared" si="27"/>
        <v>-255000</v>
      </c>
      <c r="G93" s="4">
        <f>-255000</f>
        <v>-255000</v>
      </c>
      <c r="H93" s="4"/>
      <c r="I93" s="4">
        <f t="shared" si="26"/>
        <v>427808</v>
      </c>
      <c r="J93" s="4">
        <v>472489</v>
      </c>
      <c r="K93" s="4">
        <f t="shared" si="28"/>
        <v>-24023</v>
      </c>
      <c r="L93" s="4">
        <f>-24023</f>
        <v>-24023</v>
      </c>
      <c r="M93" s="4"/>
      <c r="N93" s="4">
        <f>-24023</f>
        <v>-24023</v>
      </c>
      <c r="O93" s="4">
        <f t="shared" si="29"/>
        <v>448466</v>
      </c>
      <c r="P93" s="4">
        <f t="shared" si="2"/>
        <v>1155297</v>
      </c>
      <c r="Q93" s="4">
        <f t="shared" si="3"/>
        <v>-279023</v>
      </c>
      <c r="R93" s="4">
        <f t="shared" si="4"/>
        <v>876274</v>
      </c>
    </row>
    <row r="94" spans="1:21" s="14" customFormat="1" ht="12" x14ac:dyDescent="0.2">
      <c r="A94" s="1"/>
      <c r="B94" s="2"/>
      <c r="C94" s="2"/>
      <c r="D94" s="3" t="s">
        <v>364</v>
      </c>
      <c r="E94" s="4">
        <v>0</v>
      </c>
      <c r="F94" s="4">
        <f t="shared" si="27"/>
        <v>0</v>
      </c>
      <c r="G94" s="4"/>
      <c r="H94" s="4"/>
      <c r="I94" s="4">
        <f t="shared" si="26"/>
        <v>0</v>
      </c>
      <c r="J94" s="4">
        <v>0</v>
      </c>
      <c r="K94" s="4">
        <f t="shared" si="28"/>
        <v>0</v>
      </c>
      <c r="L94" s="4"/>
      <c r="M94" s="4"/>
      <c r="N94" s="4"/>
      <c r="O94" s="4">
        <f t="shared" si="29"/>
        <v>0</v>
      </c>
      <c r="P94" s="4">
        <f t="shared" si="2"/>
        <v>0</v>
      </c>
      <c r="Q94" s="4">
        <f t="shared" si="3"/>
        <v>0</v>
      </c>
      <c r="R94" s="4">
        <f t="shared" si="4"/>
        <v>0</v>
      </c>
    </row>
    <row r="95" spans="1:21" s="14" customFormat="1" ht="24" x14ac:dyDescent="0.2">
      <c r="A95" s="1"/>
      <c r="B95" s="2"/>
      <c r="C95" s="2"/>
      <c r="D95" s="15" t="s">
        <v>46</v>
      </c>
      <c r="E95" s="4">
        <v>525000</v>
      </c>
      <c r="F95" s="4">
        <f t="shared" si="27"/>
        <v>-255000</v>
      </c>
      <c r="G95" s="4">
        <v>-255000</v>
      </c>
      <c r="H95" s="4"/>
      <c r="I95" s="4">
        <f t="shared" si="26"/>
        <v>270000</v>
      </c>
      <c r="J95" s="4">
        <v>0</v>
      </c>
      <c r="K95" s="4">
        <f t="shared" si="28"/>
        <v>0</v>
      </c>
      <c r="L95" s="4"/>
      <c r="M95" s="4"/>
      <c r="N95" s="4"/>
      <c r="O95" s="4">
        <f t="shared" si="29"/>
        <v>0</v>
      </c>
      <c r="P95" s="4">
        <f t="shared" si="2"/>
        <v>525000</v>
      </c>
      <c r="Q95" s="4">
        <f t="shared" si="3"/>
        <v>-255000</v>
      </c>
      <c r="R95" s="4">
        <f t="shared" si="4"/>
        <v>270000</v>
      </c>
    </row>
    <row r="96" spans="1:21" s="14" customFormat="1" ht="24" x14ac:dyDescent="0.2">
      <c r="A96" s="1" t="s">
        <v>406</v>
      </c>
      <c r="B96" s="2" t="s">
        <v>407</v>
      </c>
      <c r="C96" s="2"/>
      <c r="D96" s="15" t="s">
        <v>408</v>
      </c>
      <c r="E96" s="4">
        <v>2122724</v>
      </c>
      <c r="F96" s="4">
        <f t="shared" si="27"/>
        <v>17300</v>
      </c>
      <c r="G96" s="4">
        <f>-4800+18400+3700</f>
        <v>17300</v>
      </c>
      <c r="H96" s="4"/>
      <c r="I96" s="4">
        <f t="shared" si="26"/>
        <v>2140024</v>
      </c>
      <c r="J96" s="4">
        <v>0</v>
      </c>
      <c r="K96" s="4">
        <f t="shared" si="28"/>
        <v>0</v>
      </c>
      <c r="L96" s="4"/>
      <c r="M96" s="4"/>
      <c r="N96" s="4"/>
      <c r="O96" s="4">
        <f t="shared" si="29"/>
        <v>0</v>
      </c>
      <c r="P96" s="4">
        <f t="shared" si="2"/>
        <v>2122724</v>
      </c>
      <c r="Q96" s="4">
        <f t="shared" si="3"/>
        <v>17300</v>
      </c>
      <c r="R96" s="4">
        <f t="shared" si="4"/>
        <v>2140024</v>
      </c>
    </row>
    <row r="97" spans="1:19" s="14" customFormat="1" ht="48" x14ac:dyDescent="0.2">
      <c r="A97" s="1"/>
      <c r="B97" s="2"/>
      <c r="C97" s="2"/>
      <c r="D97" s="21" t="s">
        <v>382</v>
      </c>
      <c r="E97" s="4">
        <v>1785033</v>
      </c>
      <c r="F97" s="4">
        <f t="shared" si="27"/>
        <v>0</v>
      </c>
      <c r="G97" s="4"/>
      <c r="H97" s="4"/>
      <c r="I97" s="4">
        <f t="shared" si="26"/>
        <v>1785033</v>
      </c>
      <c r="J97" s="4">
        <v>0</v>
      </c>
      <c r="K97" s="4">
        <f t="shared" si="28"/>
        <v>0</v>
      </c>
      <c r="L97" s="4"/>
      <c r="M97" s="4"/>
      <c r="N97" s="4"/>
      <c r="O97" s="4">
        <f t="shared" si="29"/>
        <v>0</v>
      </c>
      <c r="P97" s="4">
        <f t="shared" si="2"/>
        <v>1785033</v>
      </c>
      <c r="Q97" s="4">
        <f t="shared" si="3"/>
        <v>0</v>
      </c>
      <c r="R97" s="4">
        <f t="shared" si="4"/>
        <v>1785033</v>
      </c>
    </row>
    <row r="98" spans="1:19" s="14" customFormat="1" ht="24" x14ac:dyDescent="0.2">
      <c r="A98" s="1" t="s">
        <v>174</v>
      </c>
      <c r="B98" s="2" t="s">
        <v>107</v>
      </c>
      <c r="C98" s="2" t="s">
        <v>53</v>
      </c>
      <c r="D98" s="3" t="s">
        <v>108</v>
      </c>
      <c r="E98" s="4">
        <v>6390035</v>
      </c>
      <c r="F98" s="4">
        <f t="shared" si="27"/>
        <v>448050</v>
      </c>
      <c r="G98" s="4">
        <f>357000+40000+51050</f>
        <v>448050</v>
      </c>
      <c r="H98" s="4"/>
      <c r="I98" s="4">
        <f t="shared" si="26"/>
        <v>6838085</v>
      </c>
      <c r="J98" s="4">
        <v>394690</v>
      </c>
      <c r="K98" s="4">
        <f t="shared" si="28"/>
        <v>0</v>
      </c>
      <c r="L98" s="4"/>
      <c r="M98" s="4"/>
      <c r="N98" s="4"/>
      <c r="O98" s="4">
        <f t="shared" si="29"/>
        <v>394690</v>
      </c>
      <c r="P98" s="4">
        <f t="shared" si="2"/>
        <v>6784725</v>
      </c>
      <c r="Q98" s="4">
        <f t="shared" si="3"/>
        <v>448050</v>
      </c>
      <c r="R98" s="4">
        <f t="shared" si="4"/>
        <v>7232775</v>
      </c>
    </row>
    <row r="99" spans="1:19" s="14" customFormat="1" ht="48" hidden="1" x14ac:dyDescent="0.2">
      <c r="A99" s="1" t="s">
        <v>175</v>
      </c>
      <c r="B99" s="2" t="s">
        <v>109</v>
      </c>
      <c r="C99" s="2" t="s">
        <v>53</v>
      </c>
      <c r="D99" s="71" t="s">
        <v>110</v>
      </c>
      <c r="E99" s="4">
        <v>0</v>
      </c>
      <c r="F99" s="4">
        <f t="shared" si="27"/>
        <v>0</v>
      </c>
      <c r="G99" s="4"/>
      <c r="H99" s="4"/>
      <c r="I99" s="4">
        <f t="shared" si="26"/>
        <v>0</v>
      </c>
      <c r="J99" s="4">
        <v>0</v>
      </c>
      <c r="K99" s="4">
        <f t="shared" si="28"/>
        <v>0</v>
      </c>
      <c r="L99" s="4"/>
      <c r="M99" s="4"/>
      <c r="N99" s="4"/>
      <c r="O99" s="4">
        <f t="shared" si="29"/>
        <v>0</v>
      </c>
      <c r="P99" s="4">
        <f t="shared" si="2"/>
        <v>0</v>
      </c>
      <c r="Q99" s="4">
        <f t="shared" si="3"/>
        <v>0</v>
      </c>
      <c r="R99" s="4">
        <f t="shared" si="4"/>
        <v>0</v>
      </c>
    </row>
    <row r="100" spans="1:19" s="14" customFormat="1" ht="24" x14ac:dyDescent="0.2">
      <c r="A100" s="1" t="s">
        <v>176</v>
      </c>
      <c r="B100" s="2" t="s">
        <v>86</v>
      </c>
      <c r="C100" s="2" t="s">
        <v>54</v>
      </c>
      <c r="D100" s="71" t="s">
        <v>76</v>
      </c>
      <c r="E100" s="4">
        <v>26772986</v>
      </c>
      <c r="F100" s="4">
        <f t="shared" si="27"/>
        <v>1963569</v>
      </c>
      <c r="G100" s="4">
        <f>-57900+1683000+4000+244769+89700</f>
        <v>1963569</v>
      </c>
      <c r="H100" s="4"/>
      <c r="I100" s="4">
        <f t="shared" si="26"/>
        <v>28736555</v>
      </c>
      <c r="J100" s="4">
        <v>620000</v>
      </c>
      <c r="K100" s="4">
        <f t="shared" si="28"/>
        <v>22100</v>
      </c>
      <c r="L100" s="4">
        <f>22100</f>
        <v>22100</v>
      </c>
      <c r="M100" s="4"/>
      <c r="N100" s="4">
        <f>22100</f>
        <v>22100</v>
      </c>
      <c r="O100" s="4">
        <f t="shared" si="29"/>
        <v>642100</v>
      </c>
      <c r="P100" s="4">
        <f t="shared" ref="P100:Q181" si="42">E100+J100</f>
        <v>27392986</v>
      </c>
      <c r="Q100" s="4">
        <f t="shared" ref="Q100:Q181" si="43">F100+K100</f>
        <v>1985669</v>
      </c>
      <c r="R100" s="4">
        <f t="shared" ref="R100:R181" si="44">I100+O100</f>
        <v>29378655</v>
      </c>
    </row>
    <row r="101" spans="1:19" s="14" customFormat="1" ht="94.5" customHeight="1" x14ac:dyDescent="0.2">
      <c r="A101" s="1" t="s">
        <v>328</v>
      </c>
      <c r="B101" s="2" t="s">
        <v>326</v>
      </c>
      <c r="C101" s="2" t="s">
        <v>41</v>
      </c>
      <c r="D101" s="3" t="s">
        <v>327</v>
      </c>
      <c r="E101" s="4">
        <v>0</v>
      </c>
      <c r="F101" s="4">
        <f t="shared" si="27"/>
        <v>0</v>
      </c>
      <c r="G101" s="4"/>
      <c r="H101" s="4"/>
      <c r="I101" s="4">
        <f t="shared" si="26"/>
        <v>0</v>
      </c>
      <c r="J101" s="4">
        <v>800000</v>
      </c>
      <c r="K101" s="4">
        <f t="shared" si="28"/>
        <v>0</v>
      </c>
      <c r="L101" s="4"/>
      <c r="M101" s="4"/>
      <c r="N101" s="4"/>
      <c r="O101" s="4">
        <f t="shared" si="29"/>
        <v>800000</v>
      </c>
      <c r="P101" s="4">
        <f t="shared" si="42"/>
        <v>800000</v>
      </c>
      <c r="Q101" s="4">
        <f t="shared" si="43"/>
        <v>0</v>
      </c>
      <c r="R101" s="4">
        <f t="shared" si="44"/>
        <v>800000</v>
      </c>
    </row>
    <row r="102" spans="1:19" s="14" customFormat="1" ht="24" x14ac:dyDescent="0.2">
      <c r="A102" s="1" t="s">
        <v>465</v>
      </c>
      <c r="B102" s="2" t="s">
        <v>121</v>
      </c>
      <c r="C102" s="2" t="s">
        <v>27</v>
      </c>
      <c r="D102" s="3" t="s">
        <v>7</v>
      </c>
      <c r="E102" s="4"/>
      <c r="F102" s="4"/>
      <c r="G102" s="4"/>
      <c r="H102" s="4"/>
      <c r="I102" s="4"/>
      <c r="J102" s="4">
        <v>295000</v>
      </c>
      <c r="K102" s="4"/>
      <c r="L102" s="4"/>
      <c r="M102" s="4"/>
      <c r="N102" s="4"/>
      <c r="O102" s="4">
        <f t="shared" si="29"/>
        <v>295000</v>
      </c>
      <c r="P102" s="4">
        <f t="shared" ref="P102" si="45">E102+J102</f>
        <v>295000</v>
      </c>
      <c r="Q102" s="4">
        <f t="shared" ref="Q102" si="46">F102+K102</f>
        <v>0</v>
      </c>
      <c r="R102" s="4">
        <f t="shared" ref="R102" si="47">I102+O102</f>
        <v>295000</v>
      </c>
    </row>
    <row r="103" spans="1:19" s="13" customFormat="1" ht="24" x14ac:dyDescent="0.2">
      <c r="A103" s="16" t="s">
        <v>135</v>
      </c>
      <c r="B103" s="10"/>
      <c r="C103" s="10"/>
      <c r="D103" s="11" t="s">
        <v>112</v>
      </c>
      <c r="E103" s="12">
        <f>E106+E112+E115+E117+E128+E105+E126+E124+E120</f>
        <v>170911157</v>
      </c>
      <c r="F103" s="12">
        <f>F106+F112+F115+F117+F128+F105+F126+F124+F120</f>
        <v>5116424</v>
      </c>
      <c r="G103" s="12">
        <f>G106+G112+G115+G117+G128+G105+G126+G124+G120</f>
        <v>5116424</v>
      </c>
      <c r="H103" s="12">
        <f>H106+H112+H115+H117+H128+H105+H126+H124+H120</f>
        <v>0</v>
      </c>
      <c r="I103" s="12">
        <f>I106+I112+I115+I117+I128+I105+I126+I124+I120</f>
        <v>176027581</v>
      </c>
      <c r="J103" s="12">
        <f>J106+J112+J115+J117+J128++J105+J134+J120+J131</f>
        <v>33761229</v>
      </c>
      <c r="K103" s="12">
        <f t="shared" ref="K103:O103" si="48">K106+K112+K115+K117+K128++K105+K134+K120+K131</f>
        <v>12308216</v>
      </c>
      <c r="L103" s="12">
        <f>L106+L112+L115+L117+L128++L105+L134+L120+L131</f>
        <v>12308216</v>
      </c>
      <c r="M103" s="12">
        <f t="shared" si="48"/>
        <v>-1373584</v>
      </c>
      <c r="N103" s="12">
        <f t="shared" si="48"/>
        <v>13681800</v>
      </c>
      <c r="O103" s="12">
        <f t="shared" si="48"/>
        <v>46069445</v>
      </c>
      <c r="P103" s="12">
        <f t="shared" si="42"/>
        <v>204672386</v>
      </c>
      <c r="Q103" s="12">
        <f t="shared" si="43"/>
        <v>17424640</v>
      </c>
      <c r="R103" s="12">
        <f t="shared" si="44"/>
        <v>222097026</v>
      </c>
      <c r="S103" s="22"/>
    </row>
    <row r="104" spans="1:19" s="13" customFormat="1" ht="24" x14ac:dyDescent="0.2">
      <c r="A104" s="16" t="s">
        <v>136</v>
      </c>
      <c r="B104" s="10"/>
      <c r="C104" s="10"/>
      <c r="D104" s="11" t="s">
        <v>112</v>
      </c>
      <c r="E104" s="4"/>
      <c r="F104" s="12"/>
      <c r="G104" s="12"/>
      <c r="H104" s="12"/>
      <c r="I104" s="12"/>
      <c r="J104" s="4"/>
      <c r="K104" s="4"/>
      <c r="L104" s="12"/>
      <c r="M104" s="12"/>
      <c r="N104" s="12"/>
      <c r="O104" s="12"/>
      <c r="P104" s="12">
        <f t="shared" si="42"/>
        <v>0</v>
      </c>
      <c r="Q104" s="12">
        <f t="shared" si="43"/>
        <v>0</v>
      </c>
      <c r="R104" s="12">
        <f t="shared" si="44"/>
        <v>0</v>
      </c>
    </row>
    <row r="105" spans="1:19" s="13" customFormat="1" ht="12" x14ac:dyDescent="0.2">
      <c r="A105" s="1" t="s">
        <v>137</v>
      </c>
      <c r="B105" s="2" t="s">
        <v>81</v>
      </c>
      <c r="C105" s="2" t="s">
        <v>34</v>
      </c>
      <c r="D105" s="3" t="s">
        <v>111</v>
      </c>
      <c r="E105" s="4">
        <v>2579935</v>
      </c>
      <c r="F105" s="4">
        <f t="shared" ref="F105:F134" si="49">G105</f>
        <v>64000</v>
      </c>
      <c r="G105" s="4">
        <f>40000+24000</f>
        <v>64000</v>
      </c>
      <c r="H105" s="4"/>
      <c r="I105" s="4">
        <f t="shared" ref="I105:I134" si="50">E105+F105</f>
        <v>2643935</v>
      </c>
      <c r="J105" s="4">
        <v>0</v>
      </c>
      <c r="K105" s="4">
        <f t="shared" ref="K105:K134" si="51">M105+N105</f>
        <v>0</v>
      </c>
      <c r="L105" s="4"/>
      <c r="M105" s="4"/>
      <c r="N105" s="4"/>
      <c r="O105" s="4">
        <f t="shared" ref="O105:O134" si="52">J105+K105</f>
        <v>0</v>
      </c>
      <c r="P105" s="4">
        <f t="shared" si="42"/>
        <v>2579935</v>
      </c>
      <c r="Q105" s="4">
        <f t="shared" si="43"/>
        <v>64000</v>
      </c>
      <c r="R105" s="4">
        <f t="shared" si="44"/>
        <v>2643935</v>
      </c>
    </row>
    <row r="106" spans="1:19" s="14" customFormat="1" ht="24" x14ac:dyDescent="0.2">
      <c r="A106" s="1" t="s">
        <v>138</v>
      </c>
      <c r="B106" s="2">
        <v>2010</v>
      </c>
      <c r="C106" s="2" t="s">
        <v>29</v>
      </c>
      <c r="D106" s="3" t="s">
        <v>12</v>
      </c>
      <c r="E106" s="4">
        <v>76190496</v>
      </c>
      <c r="F106" s="4">
        <f t="shared" si="49"/>
        <v>2366625</v>
      </c>
      <c r="G106" s="4">
        <f>2366625</f>
        <v>2366625</v>
      </c>
      <c r="H106" s="4"/>
      <c r="I106" s="4">
        <f t="shared" si="50"/>
        <v>78557121</v>
      </c>
      <c r="J106" s="4">
        <f>10977819+80600</f>
        <v>11058419</v>
      </c>
      <c r="K106" s="4">
        <f t="shared" si="51"/>
        <v>12308216</v>
      </c>
      <c r="L106" s="4">
        <f>11588816-80600+800000</f>
        <v>12308216</v>
      </c>
      <c r="M106" s="4"/>
      <c r="N106" s="4">
        <f>11588816-80600+800000</f>
        <v>12308216</v>
      </c>
      <c r="O106" s="4">
        <f t="shared" si="52"/>
        <v>23366635</v>
      </c>
      <c r="P106" s="4">
        <f t="shared" si="42"/>
        <v>87248915</v>
      </c>
      <c r="Q106" s="4">
        <f t="shared" si="43"/>
        <v>14674841</v>
      </c>
      <c r="R106" s="4">
        <f t="shared" si="44"/>
        <v>101923756</v>
      </c>
    </row>
    <row r="107" spans="1:19" s="23" customFormat="1" ht="24" x14ac:dyDescent="0.2">
      <c r="A107" s="1"/>
      <c r="B107" s="2"/>
      <c r="C107" s="2"/>
      <c r="D107" s="21" t="s">
        <v>28</v>
      </c>
      <c r="E107" s="4">
        <f>28210698+1124600</f>
        <v>29335298</v>
      </c>
      <c r="F107" s="4">
        <f t="shared" si="49"/>
        <v>0</v>
      </c>
      <c r="G107" s="4"/>
      <c r="H107" s="4"/>
      <c r="I107" s="4">
        <f t="shared" si="50"/>
        <v>29335298</v>
      </c>
      <c r="J107" s="4">
        <v>0</v>
      </c>
      <c r="K107" s="4">
        <f t="shared" si="51"/>
        <v>0</v>
      </c>
      <c r="L107" s="4"/>
      <c r="M107" s="4"/>
      <c r="N107" s="4"/>
      <c r="O107" s="4">
        <f t="shared" si="52"/>
        <v>0</v>
      </c>
      <c r="P107" s="4">
        <f t="shared" si="42"/>
        <v>29335298</v>
      </c>
      <c r="Q107" s="4">
        <f t="shared" si="43"/>
        <v>0</v>
      </c>
      <c r="R107" s="4">
        <f t="shared" si="44"/>
        <v>29335298</v>
      </c>
    </row>
    <row r="108" spans="1:19" s="23" customFormat="1" ht="24" x14ac:dyDescent="0.2">
      <c r="A108" s="1"/>
      <c r="B108" s="2"/>
      <c r="C108" s="2"/>
      <c r="D108" s="21" t="s">
        <v>381</v>
      </c>
      <c r="E108" s="4">
        <v>0</v>
      </c>
      <c r="F108" s="4">
        <f t="shared" si="49"/>
        <v>0</v>
      </c>
      <c r="G108" s="4"/>
      <c r="H108" s="4"/>
      <c r="I108" s="4">
        <f t="shared" si="50"/>
        <v>0</v>
      </c>
      <c r="J108" s="4">
        <v>462373</v>
      </c>
      <c r="K108" s="4">
        <f t="shared" si="51"/>
        <v>0</v>
      </c>
      <c r="L108" s="4"/>
      <c r="M108" s="4"/>
      <c r="N108" s="4"/>
      <c r="O108" s="4">
        <f t="shared" si="52"/>
        <v>462373</v>
      </c>
      <c r="P108" s="4">
        <f t="shared" ref="P108:P110" si="53">E108+J108</f>
        <v>462373</v>
      </c>
      <c r="Q108" s="4">
        <f t="shared" ref="Q108:Q110" si="54">F108+K108</f>
        <v>0</v>
      </c>
      <c r="R108" s="4">
        <f t="shared" ref="R108:R110" si="55">I108+O108</f>
        <v>462373</v>
      </c>
    </row>
    <row r="109" spans="1:19" s="23" customFormat="1" ht="84" x14ac:dyDescent="0.2">
      <c r="A109" s="1"/>
      <c r="B109" s="2"/>
      <c r="C109" s="2"/>
      <c r="D109" s="21" t="s">
        <v>556</v>
      </c>
      <c r="E109" s="4">
        <v>1124600</v>
      </c>
      <c r="F109" s="4">
        <f t="shared" si="49"/>
        <v>2000000</v>
      </c>
      <c r="G109" s="4">
        <f>2000000</f>
        <v>2000000</v>
      </c>
      <c r="H109" s="4"/>
      <c r="I109" s="4">
        <f t="shared" si="50"/>
        <v>3124600</v>
      </c>
      <c r="J109" s="4">
        <v>585800</v>
      </c>
      <c r="K109" s="4">
        <f t="shared" si="51"/>
        <v>800000</v>
      </c>
      <c r="L109" s="4">
        <v>800000</v>
      </c>
      <c r="M109" s="4"/>
      <c r="N109" s="4">
        <v>800000</v>
      </c>
      <c r="O109" s="4">
        <f t="shared" si="52"/>
        <v>1385800</v>
      </c>
      <c r="P109" s="4">
        <f t="shared" ref="P109" si="56">E109+J109</f>
        <v>1710400</v>
      </c>
      <c r="Q109" s="4">
        <f t="shared" ref="Q109" si="57">F109+K109</f>
        <v>2800000</v>
      </c>
      <c r="R109" s="4">
        <f t="shared" ref="R109" si="58">I109+O109</f>
        <v>4510400</v>
      </c>
    </row>
    <row r="110" spans="1:19" s="23" customFormat="1" ht="36" x14ac:dyDescent="0.2">
      <c r="A110" s="1"/>
      <c r="B110" s="2"/>
      <c r="C110" s="2"/>
      <c r="D110" s="21" t="s">
        <v>524</v>
      </c>
      <c r="E110" s="4"/>
      <c r="F110" s="4"/>
      <c r="G110" s="4"/>
      <c r="H110" s="4"/>
      <c r="I110" s="4">
        <f t="shared" si="50"/>
        <v>0</v>
      </c>
      <c r="J110" s="4">
        <v>20000</v>
      </c>
      <c r="K110" s="4">
        <f t="shared" si="51"/>
        <v>0</v>
      </c>
      <c r="L110" s="4"/>
      <c r="M110" s="4"/>
      <c r="N110" s="4"/>
      <c r="O110" s="4">
        <f t="shared" si="52"/>
        <v>20000</v>
      </c>
      <c r="P110" s="4">
        <f t="shared" si="53"/>
        <v>20000</v>
      </c>
      <c r="Q110" s="4">
        <f t="shared" si="54"/>
        <v>0</v>
      </c>
      <c r="R110" s="4">
        <f t="shared" si="55"/>
        <v>20000</v>
      </c>
    </row>
    <row r="111" spans="1:19" s="23" customFormat="1" ht="17.25" customHeight="1" x14ac:dyDescent="0.2">
      <c r="A111" s="1"/>
      <c r="B111" s="2"/>
      <c r="C111" s="2"/>
      <c r="D111" s="21" t="s">
        <v>494</v>
      </c>
      <c r="E111" s="4">
        <v>437100</v>
      </c>
      <c r="F111" s="4">
        <f>G111</f>
        <v>0</v>
      </c>
      <c r="G111" s="4"/>
      <c r="H111" s="4"/>
      <c r="I111" s="4">
        <f t="shared" si="50"/>
        <v>437100</v>
      </c>
      <c r="J111" s="4">
        <v>580120</v>
      </c>
      <c r="K111" s="4">
        <f t="shared" si="51"/>
        <v>0</v>
      </c>
      <c r="L111" s="4"/>
      <c r="M111" s="4"/>
      <c r="N111" s="4"/>
      <c r="O111" s="4">
        <f t="shared" si="52"/>
        <v>580120</v>
      </c>
      <c r="P111" s="4">
        <f t="shared" si="42"/>
        <v>1017220</v>
      </c>
      <c r="Q111" s="4">
        <f t="shared" si="43"/>
        <v>0</v>
      </c>
      <c r="R111" s="4">
        <f t="shared" si="44"/>
        <v>1017220</v>
      </c>
    </row>
    <row r="112" spans="1:19" s="14" customFormat="1" ht="24" x14ac:dyDescent="0.2">
      <c r="A112" s="1" t="s">
        <v>139</v>
      </c>
      <c r="B112" s="2" t="s">
        <v>113</v>
      </c>
      <c r="C112" s="2" t="s">
        <v>30</v>
      </c>
      <c r="D112" s="3" t="s">
        <v>18</v>
      </c>
      <c r="E112" s="4">
        <v>27940624</v>
      </c>
      <c r="F112" s="4">
        <f t="shared" si="49"/>
        <v>100400</v>
      </c>
      <c r="G112" s="4">
        <f>100400</f>
        <v>100400</v>
      </c>
      <c r="H112" s="4"/>
      <c r="I112" s="4">
        <f t="shared" si="50"/>
        <v>28041024</v>
      </c>
      <c r="J112" s="4">
        <f>3339901+200000</f>
        <v>3539901</v>
      </c>
      <c r="K112" s="4">
        <f t="shared" si="51"/>
        <v>0</v>
      </c>
      <c r="L112" s="4"/>
      <c r="M112" s="4"/>
      <c r="N112" s="4"/>
      <c r="O112" s="4">
        <f t="shared" si="52"/>
        <v>3539901</v>
      </c>
      <c r="P112" s="4">
        <f t="shared" si="42"/>
        <v>31480525</v>
      </c>
      <c r="Q112" s="4">
        <f t="shared" si="43"/>
        <v>100400</v>
      </c>
      <c r="R112" s="4">
        <f t="shared" si="44"/>
        <v>31580925</v>
      </c>
    </row>
    <row r="113" spans="1:18" s="14" customFormat="1" ht="24" x14ac:dyDescent="0.2">
      <c r="A113" s="1"/>
      <c r="B113" s="2"/>
      <c r="C113" s="2"/>
      <c r="D113" s="21" t="s">
        <v>28</v>
      </c>
      <c r="E113" s="4">
        <v>8701000</v>
      </c>
      <c r="F113" s="4">
        <f t="shared" si="49"/>
        <v>0</v>
      </c>
      <c r="G113" s="4"/>
      <c r="H113" s="4"/>
      <c r="I113" s="4">
        <f t="shared" si="50"/>
        <v>8701000</v>
      </c>
      <c r="J113" s="4">
        <v>0</v>
      </c>
      <c r="K113" s="4">
        <f t="shared" si="51"/>
        <v>0</v>
      </c>
      <c r="L113" s="4"/>
      <c r="M113" s="4"/>
      <c r="N113" s="4"/>
      <c r="O113" s="4">
        <f t="shared" si="52"/>
        <v>0</v>
      </c>
      <c r="P113" s="4">
        <f t="shared" si="42"/>
        <v>8701000</v>
      </c>
      <c r="Q113" s="4">
        <f t="shared" si="43"/>
        <v>0</v>
      </c>
      <c r="R113" s="4">
        <f t="shared" si="44"/>
        <v>8701000</v>
      </c>
    </row>
    <row r="114" spans="1:18" s="14" customFormat="1" ht="24" hidden="1" x14ac:dyDescent="0.2">
      <c r="A114" s="1"/>
      <c r="B114" s="2"/>
      <c r="C114" s="2"/>
      <c r="D114" s="21" t="s">
        <v>381</v>
      </c>
      <c r="E114" s="4">
        <v>0</v>
      </c>
      <c r="F114" s="4">
        <f t="shared" si="49"/>
        <v>0</v>
      </c>
      <c r="G114" s="4"/>
      <c r="H114" s="4"/>
      <c r="I114" s="4">
        <f t="shared" si="50"/>
        <v>0</v>
      </c>
      <c r="J114" s="4">
        <v>0</v>
      </c>
      <c r="K114" s="4">
        <f t="shared" si="51"/>
        <v>0</v>
      </c>
      <c r="L114" s="4"/>
      <c r="M114" s="4"/>
      <c r="N114" s="4"/>
      <c r="O114" s="4">
        <f t="shared" si="52"/>
        <v>0</v>
      </c>
      <c r="P114" s="4">
        <f t="shared" si="42"/>
        <v>0</v>
      </c>
      <c r="Q114" s="4">
        <f t="shared" si="43"/>
        <v>0</v>
      </c>
      <c r="R114" s="4">
        <f t="shared" si="44"/>
        <v>0</v>
      </c>
    </row>
    <row r="115" spans="1:18" s="14" customFormat="1" ht="24" x14ac:dyDescent="0.2">
      <c r="A115" s="1" t="s">
        <v>140</v>
      </c>
      <c r="B115" s="2" t="s">
        <v>114</v>
      </c>
      <c r="C115" s="2" t="s">
        <v>31</v>
      </c>
      <c r="D115" s="3" t="s">
        <v>316</v>
      </c>
      <c r="E115" s="4">
        <v>34629665</v>
      </c>
      <c r="F115" s="4">
        <f t="shared" si="49"/>
        <v>-87398</v>
      </c>
      <c r="G115" s="4">
        <f>312602-400000</f>
        <v>-87398</v>
      </c>
      <c r="H115" s="4"/>
      <c r="I115" s="4">
        <f t="shared" si="50"/>
        <v>34542267</v>
      </c>
      <c r="J115" s="4">
        <v>889152</v>
      </c>
      <c r="K115" s="4">
        <f t="shared" si="51"/>
        <v>0</v>
      </c>
      <c r="L115" s="4"/>
      <c r="M115" s="4"/>
      <c r="N115" s="4"/>
      <c r="O115" s="4">
        <f t="shared" si="52"/>
        <v>889152</v>
      </c>
      <c r="P115" s="4">
        <f t="shared" si="42"/>
        <v>35518817</v>
      </c>
      <c r="Q115" s="4">
        <f t="shared" si="43"/>
        <v>-87398</v>
      </c>
      <c r="R115" s="4">
        <f t="shared" si="44"/>
        <v>35431419</v>
      </c>
    </row>
    <row r="116" spans="1:18" s="23" customFormat="1" ht="24" x14ac:dyDescent="0.2">
      <c r="A116" s="1"/>
      <c r="B116" s="2"/>
      <c r="C116" s="2"/>
      <c r="D116" s="3" t="s">
        <v>28</v>
      </c>
      <c r="E116" s="4">
        <v>11875802</v>
      </c>
      <c r="F116" s="4">
        <f t="shared" si="49"/>
        <v>0</v>
      </c>
      <c r="G116" s="4"/>
      <c r="H116" s="4"/>
      <c r="I116" s="4">
        <f t="shared" si="50"/>
        <v>11875802</v>
      </c>
      <c r="J116" s="4">
        <v>0</v>
      </c>
      <c r="K116" s="4">
        <f t="shared" si="51"/>
        <v>0</v>
      </c>
      <c r="L116" s="4"/>
      <c r="M116" s="4"/>
      <c r="N116" s="4"/>
      <c r="O116" s="4">
        <f t="shared" si="52"/>
        <v>0</v>
      </c>
      <c r="P116" s="4">
        <f t="shared" si="42"/>
        <v>11875802</v>
      </c>
      <c r="Q116" s="4">
        <f t="shared" si="43"/>
        <v>0</v>
      </c>
      <c r="R116" s="4">
        <f t="shared" si="44"/>
        <v>11875802</v>
      </c>
    </row>
    <row r="117" spans="1:18" s="14" customFormat="1" ht="12" x14ac:dyDescent="0.2">
      <c r="A117" s="1" t="s">
        <v>141</v>
      </c>
      <c r="B117" s="2" t="s">
        <v>115</v>
      </c>
      <c r="C117" s="2" t="s">
        <v>32</v>
      </c>
      <c r="D117" s="3" t="s">
        <v>116</v>
      </c>
      <c r="E117" s="4">
        <v>9091930</v>
      </c>
      <c r="F117" s="4">
        <f t="shared" si="49"/>
        <v>1506000</v>
      </c>
      <c r="G117" s="4">
        <f>1106000+400000</f>
        <v>1506000</v>
      </c>
      <c r="H117" s="4"/>
      <c r="I117" s="4">
        <f t="shared" si="50"/>
        <v>10597930</v>
      </c>
      <c r="J117" s="4">
        <v>0</v>
      </c>
      <c r="K117" s="4">
        <f t="shared" si="51"/>
        <v>0</v>
      </c>
      <c r="L117" s="4"/>
      <c r="M117" s="4"/>
      <c r="N117" s="4"/>
      <c r="O117" s="4">
        <f t="shared" si="52"/>
        <v>0</v>
      </c>
      <c r="P117" s="4">
        <f t="shared" si="42"/>
        <v>9091930</v>
      </c>
      <c r="Q117" s="4">
        <f t="shared" si="43"/>
        <v>1506000</v>
      </c>
      <c r="R117" s="4">
        <f t="shared" si="44"/>
        <v>10597930</v>
      </c>
    </row>
    <row r="118" spans="1:18" s="14" customFormat="1" ht="24" x14ac:dyDescent="0.2">
      <c r="A118" s="1"/>
      <c r="B118" s="2"/>
      <c r="C118" s="2"/>
      <c r="D118" s="72" t="s">
        <v>28</v>
      </c>
      <c r="E118" s="4">
        <v>3887000</v>
      </c>
      <c r="F118" s="4">
        <f t="shared" si="49"/>
        <v>0</v>
      </c>
      <c r="G118" s="4"/>
      <c r="H118" s="4"/>
      <c r="I118" s="4">
        <f t="shared" si="50"/>
        <v>3887000</v>
      </c>
      <c r="J118" s="4">
        <v>0</v>
      </c>
      <c r="K118" s="4">
        <f t="shared" si="51"/>
        <v>0</v>
      </c>
      <c r="L118" s="4"/>
      <c r="M118" s="4"/>
      <c r="N118" s="4"/>
      <c r="O118" s="4">
        <f t="shared" si="52"/>
        <v>0</v>
      </c>
      <c r="P118" s="4">
        <f t="shared" si="42"/>
        <v>3887000</v>
      </c>
      <c r="Q118" s="4">
        <f t="shared" si="43"/>
        <v>0</v>
      </c>
      <c r="R118" s="4">
        <f t="shared" si="44"/>
        <v>3887000</v>
      </c>
    </row>
    <row r="119" spans="1:18" s="14" customFormat="1" ht="24" hidden="1" x14ac:dyDescent="0.2">
      <c r="A119" s="1"/>
      <c r="B119" s="2"/>
      <c r="C119" s="2"/>
      <c r="D119" s="21" t="s">
        <v>381</v>
      </c>
      <c r="E119" s="4">
        <v>0</v>
      </c>
      <c r="F119" s="4">
        <f t="shared" si="49"/>
        <v>0</v>
      </c>
      <c r="G119" s="4"/>
      <c r="H119" s="4"/>
      <c r="I119" s="4">
        <f t="shared" si="50"/>
        <v>0</v>
      </c>
      <c r="J119" s="4">
        <v>0</v>
      </c>
      <c r="K119" s="4">
        <f t="shared" si="51"/>
        <v>0</v>
      </c>
      <c r="L119" s="4"/>
      <c r="M119" s="4"/>
      <c r="N119" s="4"/>
      <c r="O119" s="4">
        <f t="shared" si="52"/>
        <v>0</v>
      </c>
      <c r="P119" s="4">
        <f t="shared" si="42"/>
        <v>0</v>
      </c>
      <c r="Q119" s="4">
        <f t="shared" si="43"/>
        <v>0</v>
      </c>
      <c r="R119" s="4">
        <f t="shared" si="44"/>
        <v>0</v>
      </c>
    </row>
    <row r="120" spans="1:18" s="14" customFormat="1" ht="36" x14ac:dyDescent="0.2">
      <c r="A120" s="1" t="s">
        <v>376</v>
      </c>
      <c r="B120" s="73" t="s">
        <v>349</v>
      </c>
      <c r="C120" s="73" t="s">
        <v>377</v>
      </c>
      <c r="D120" s="74" t="s">
        <v>350</v>
      </c>
      <c r="E120" s="4">
        <v>9269299</v>
      </c>
      <c r="F120" s="4">
        <f t="shared" si="49"/>
        <v>-852603</v>
      </c>
      <c r="G120" s="4">
        <f>-852602-1</f>
        <v>-852603</v>
      </c>
      <c r="H120" s="4"/>
      <c r="I120" s="4">
        <f t="shared" si="50"/>
        <v>8416696</v>
      </c>
      <c r="J120" s="4">
        <v>350465</v>
      </c>
      <c r="K120" s="4">
        <f t="shared" si="51"/>
        <v>0</v>
      </c>
      <c r="L120" s="4"/>
      <c r="M120" s="4"/>
      <c r="N120" s="4"/>
      <c r="O120" s="4">
        <f t="shared" si="52"/>
        <v>350465</v>
      </c>
      <c r="P120" s="4">
        <f>E120+J120</f>
        <v>9619764</v>
      </c>
      <c r="Q120" s="4">
        <f>F120+K120</f>
        <v>-852603</v>
      </c>
      <c r="R120" s="4">
        <f>I120+O120</f>
        <v>8767161</v>
      </c>
    </row>
    <row r="121" spans="1:18" s="14" customFormat="1" ht="22.5" customHeight="1" x14ac:dyDescent="0.2">
      <c r="A121" s="1"/>
      <c r="B121" s="73"/>
      <c r="C121" s="73"/>
      <c r="D121" s="74" t="s">
        <v>490</v>
      </c>
      <c r="E121" s="4">
        <v>132190</v>
      </c>
      <c r="F121" s="4">
        <f>G121</f>
        <v>0</v>
      </c>
      <c r="G121" s="4"/>
      <c r="H121" s="4"/>
      <c r="I121" s="4">
        <f t="shared" si="50"/>
        <v>132190</v>
      </c>
      <c r="J121" s="4">
        <v>37000</v>
      </c>
      <c r="K121" s="4">
        <f t="shared" si="51"/>
        <v>0</v>
      </c>
      <c r="L121" s="4"/>
      <c r="M121" s="4"/>
      <c r="N121" s="4"/>
      <c r="O121" s="4">
        <f t="shared" si="52"/>
        <v>37000</v>
      </c>
      <c r="P121" s="4">
        <f t="shared" ref="P121" si="59">E121+J121</f>
        <v>169190</v>
      </c>
      <c r="Q121" s="4">
        <f t="shared" ref="Q121" si="60">F121+K121</f>
        <v>0</v>
      </c>
      <c r="R121" s="4">
        <f t="shared" ref="R121" si="61">I121+O121</f>
        <v>169190</v>
      </c>
    </row>
    <row r="122" spans="1:18" s="14" customFormat="1" ht="15" customHeight="1" x14ac:dyDescent="0.2">
      <c r="A122" s="1"/>
      <c r="B122" s="73"/>
      <c r="C122" s="73"/>
      <c r="D122" s="74" t="s">
        <v>491</v>
      </c>
      <c r="E122" s="4">
        <v>97190</v>
      </c>
      <c r="F122" s="4">
        <f>G122</f>
        <v>0</v>
      </c>
      <c r="G122" s="4"/>
      <c r="H122" s="4"/>
      <c r="I122" s="4">
        <f t="shared" si="50"/>
        <v>97190</v>
      </c>
      <c r="J122" s="4">
        <v>0</v>
      </c>
      <c r="K122" s="4">
        <f t="shared" si="51"/>
        <v>0</v>
      </c>
      <c r="L122" s="4"/>
      <c r="M122" s="4"/>
      <c r="N122" s="4"/>
      <c r="O122" s="4">
        <f t="shared" si="52"/>
        <v>0</v>
      </c>
      <c r="P122" s="4">
        <f t="shared" ref="P122:P123" si="62">E122+J122</f>
        <v>97190</v>
      </c>
      <c r="Q122" s="4">
        <f t="shared" ref="Q122:Q123" si="63">F122+K122</f>
        <v>0</v>
      </c>
      <c r="R122" s="4">
        <f t="shared" ref="R122:R123" si="64">I122+O122</f>
        <v>97190</v>
      </c>
    </row>
    <row r="123" spans="1:18" s="14" customFormat="1" ht="15" customHeight="1" x14ac:dyDescent="0.2">
      <c r="A123" s="1"/>
      <c r="B123" s="73"/>
      <c r="C123" s="73"/>
      <c r="D123" s="74" t="s">
        <v>525</v>
      </c>
      <c r="E123" s="4">
        <v>35000</v>
      </c>
      <c r="F123" s="4"/>
      <c r="G123" s="4"/>
      <c r="H123" s="4"/>
      <c r="I123" s="4">
        <f t="shared" si="50"/>
        <v>35000</v>
      </c>
      <c r="J123" s="4">
        <v>37000</v>
      </c>
      <c r="K123" s="4">
        <f t="shared" si="51"/>
        <v>0</v>
      </c>
      <c r="L123" s="4"/>
      <c r="M123" s="4"/>
      <c r="N123" s="4"/>
      <c r="O123" s="4">
        <f t="shared" si="52"/>
        <v>37000</v>
      </c>
      <c r="P123" s="4">
        <f t="shared" si="62"/>
        <v>72000</v>
      </c>
      <c r="Q123" s="4">
        <f t="shared" si="63"/>
        <v>0</v>
      </c>
      <c r="R123" s="4">
        <f t="shared" si="64"/>
        <v>72000</v>
      </c>
    </row>
    <row r="124" spans="1:18" s="14" customFormat="1" ht="24" x14ac:dyDescent="0.2">
      <c r="A124" s="1" t="s">
        <v>360</v>
      </c>
      <c r="B124" s="2" t="s">
        <v>361</v>
      </c>
      <c r="C124" s="2" t="s">
        <v>33</v>
      </c>
      <c r="D124" s="75" t="s">
        <v>359</v>
      </c>
      <c r="E124" s="4">
        <f>7057240+2548100</f>
        <v>9605340</v>
      </c>
      <c r="F124" s="4">
        <f t="shared" si="49"/>
        <v>2300000</v>
      </c>
      <c r="G124" s="4">
        <v>2300000</v>
      </c>
      <c r="H124" s="4"/>
      <c r="I124" s="4">
        <f t="shared" si="50"/>
        <v>11905340</v>
      </c>
      <c r="J124" s="4">
        <v>0</v>
      </c>
      <c r="K124" s="4">
        <f t="shared" si="51"/>
        <v>0</v>
      </c>
      <c r="L124" s="4"/>
      <c r="M124" s="4"/>
      <c r="N124" s="4"/>
      <c r="O124" s="4">
        <f t="shared" si="52"/>
        <v>0</v>
      </c>
      <c r="P124" s="4">
        <f t="shared" si="42"/>
        <v>9605340</v>
      </c>
      <c r="Q124" s="4">
        <f t="shared" si="43"/>
        <v>2300000</v>
      </c>
      <c r="R124" s="4">
        <f t="shared" si="44"/>
        <v>11905340</v>
      </c>
    </row>
    <row r="125" spans="1:18" s="14" customFormat="1" ht="24" x14ac:dyDescent="0.2">
      <c r="A125" s="1"/>
      <c r="B125" s="2"/>
      <c r="C125" s="76"/>
      <c r="D125" s="21" t="s">
        <v>28</v>
      </c>
      <c r="E125" s="4">
        <f>5387400+2548100</f>
        <v>7935500</v>
      </c>
      <c r="F125" s="4">
        <f t="shared" si="49"/>
        <v>0</v>
      </c>
      <c r="G125" s="4"/>
      <c r="H125" s="4"/>
      <c r="I125" s="4">
        <f t="shared" si="50"/>
        <v>7935500</v>
      </c>
      <c r="J125" s="4">
        <v>0</v>
      </c>
      <c r="K125" s="4">
        <f t="shared" si="51"/>
        <v>0</v>
      </c>
      <c r="L125" s="4"/>
      <c r="M125" s="4"/>
      <c r="N125" s="4"/>
      <c r="O125" s="4">
        <f t="shared" si="52"/>
        <v>0</v>
      </c>
      <c r="P125" s="4">
        <f t="shared" si="42"/>
        <v>7935500</v>
      </c>
      <c r="Q125" s="4">
        <f t="shared" si="43"/>
        <v>0</v>
      </c>
      <c r="R125" s="4">
        <f t="shared" si="44"/>
        <v>7935500</v>
      </c>
    </row>
    <row r="126" spans="1:18" s="14" customFormat="1" ht="24" hidden="1" x14ac:dyDescent="0.2">
      <c r="A126" s="1" t="s">
        <v>346</v>
      </c>
      <c r="B126" s="2" t="s">
        <v>352</v>
      </c>
      <c r="C126" s="2" t="s">
        <v>347</v>
      </c>
      <c r="D126" s="15" t="s">
        <v>345</v>
      </c>
      <c r="E126" s="4">
        <v>0</v>
      </c>
      <c r="F126" s="4">
        <f t="shared" si="49"/>
        <v>0</v>
      </c>
      <c r="G126" s="4"/>
      <c r="H126" s="4"/>
      <c r="I126" s="4">
        <f t="shared" si="50"/>
        <v>0</v>
      </c>
      <c r="J126" s="4">
        <v>0</v>
      </c>
      <c r="K126" s="4">
        <f t="shared" si="51"/>
        <v>0</v>
      </c>
      <c r="L126" s="4"/>
      <c r="M126" s="4"/>
      <c r="N126" s="4"/>
      <c r="O126" s="4">
        <f t="shared" si="52"/>
        <v>0</v>
      </c>
      <c r="P126" s="4">
        <f t="shared" si="42"/>
        <v>0</v>
      </c>
      <c r="Q126" s="4">
        <f t="shared" si="43"/>
        <v>0</v>
      </c>
      <c r="R126" s="4">
        <f t="shared" si="44"/>
        <v>0</v>
      </c>
    </row>
    <row r="127" spans="1:18" s="14" customFormat="1" ht="36" hidden="1" x14ac:dyDescent="0.2">
      <c r="A127" s="77"/>
      <c r="B127" s="2"/>
      <c r="C127" s="2"/>
      <c r="D127" s="72" t="s">
        <v>348</v>
      </c>
      <c r="E127" s="4">
        <v>0</v>
      </c>
      <c r="F127" s="4">
        <f t="shared" si="49"/>
        <v>0</v>
      </c>
      <c r="G127" s="4"/>
      <c r="H127" s="4"/>
      <c r="I127" s="4">
        <f t="shared" si="50"/>
        <v>0</v>
      </c>
      <c r="J127" s="4">
        <v>0</v>
      </c>
      <c r="K127" s="4">
        <f t="shared" si="51"/>
        <v>0</v>
      </c>
      <c r="L127" s="4"/>
      <c r="M127" s="4"/>
      <c r="N127" s="4"/>
      <c r="O127" s="4">
        <f t="shared" si="52"/>
        <v>0</v>
      </c>
      <c r="P127" s="4">
        <f t="shared" si="42"/>
        <v>0</v>
      </c>
      <c r="Q127" s="4">
        <f t="shared" si="43"/>
        <v>0</v>
      </c>
      <c r="R127" s="4">
        <f t="shared" si="44"/>
        <v>0</v>
      </c>
    </row>
    <row r="128" spans="1:18" s="14" customFormat="1" ht="12" x14ac:dyDescent="0.2">
      <c r="A128" s="1" t="s">
        <v>362</v>
      </c>
      <c r="B128" s="2" t="s">
        <v>363</v>
      </c>
      <c r="C128" s="2" t="s">
        <v>33</v>
      </c>
      <c r="D128" s="3" t="s">
        <v>378</v>
      </c>
      <c r="E128" s="4">
        <v>1603868</v>
      </c>
      <c r="F128" s="4">
        <f t="shared" si="49"/>
        <v>-280600</v>
      </c>
      <c r="G128" s="4">
        <f>-280600</f>
        <v>-280600</v>
      </c>
      <c r="H128" s="4"/>
      <c r="I128" s="4">
        <f t="shared" si="50"/>
        <v>1323268</v>
      </c>
      <c r="J128" s="4">
        <v>5280292</v>
      </c>
      <c r="K128" s="4">
        <f t="shared" si="51"/>
        <v>0</v>
      </c>
      <c r="L128" s="4"/>
      <c r="M128" s="4"/>
      <c r="N128" s="4"/>
      <c r="O128" s="4">
        <f t="shared" si="52"/>
        <v>5280292</v>
      </c>
      <c r="P128" s="4">
        <f t="shared" si="42"/>
        <v>6884160</v>
      </c>
      <c r="Q128" s="4">
        <f t="shared" si="43"/>
        <v>-280600</v>
      </c>
      <c r="R128" s="4">
        <f t="shared" si="44"/>
        <v>6603560</v>
      </c>
    </row>
    <row r="129" spans="1:18" s="14" customFormat="1" ht="48" customHeight="1" x14ac:dyDescent="0.2">
      <c r="A129" s="1"/>
      <c r="B129" s="2"/>
      <c r="C129" s="2"/>
      <c r="D129" s="3" t="s">
        <v>518</v>
      </c>
      <c r="E129" s="4"/>
      <c r="F129" s="4"/>
      <c r="G129" s="4"/>
      <c r="H129" s="4"/>
      <c r="I129" s="4"/>
      <c r="J129" s="4">
        <v>3000000</v>
      </c>
      <c r="K129" s="4">
        <f t="shared" si="51"/>
        <v>0</v>
      </c>
      <c r="L129" s="4"/>
      <c r="M129" s="4"/>
      <c r="N129" s="4"/>
      <c r="O129" s="4">
        <f t="shared" si="52"/>
        <v>3000000</v>
      </c>
      <c r="P129" s="4">
        <f t="shared" ref="P129:P133" si="65">E129+J129</f>
        <v>3000000</v>
      </c>
      <c r="Q129" s="4">
        <f t="shared" si="43"/>
        <v>0</v>
      </c>
      <c r="R129" s="4">
        <f t="shared" ref="R129:R130" si="66">I129+O129</f>
        <v>3000000</v>
      </c>
    </row>
    <row r="130" spans="1:18" s="14" customFormat="1" ht="60" x14ac:dyDescent="0.2">
      <c r="A130" s="1"/>
      <c r="B130" s="2"/>
      <c r="C130" s="2"/>
      <c r="D130" s="3" t="s">
        <v>519</v>
      </c>
      <c r="E130" s="4"/>
      <c r="F130" s="4"/>
      <c r="G130" s="4"/>
      <c r="H130" s="4"/>
      <c r="I130" s="4"/>
      <c r="J130" s="4">
        <v>500000</v>
      </c>
      <c r="K130" s="4">
        <f t="shared" si="51"/>
        <v>0</v>
      </c>
      <c r="L130" s="4"/>
      <c r="M130" s="4"/>
      <c r="N130" s="4"/>
      <c r="O130" s="4">
        <f t="shared" si="52"/>
        <v>500000</v>
      </c>
      <c r="P130" s="4">
        <f t="shared" si="65"/>
        <v>500000</v>
      </c>
      <c r="Q130" s="4">
        <f t="shared" si="43"/>
        <v>0</v>
      </c>
      <c r="R130" s="4">
        <f t="shared" si="66"/>
        <v>500000</v>
      </c>
    </row>
    <row r="131" spans="1:18" s="14" customFormat="1" ht="36" x14ac:dyDescent="0.2">
      <c r="A131" s="78" t="s">
        <v>539</v>
      </c>
      <c r="B131" s="78" t="s">
        <v>540</v>
      </c>
      <c r="C131" s="78" t="s">
        <v>541</v>
      </c>
      <c r="D131" s="79" t="s">
        <v>542</v>
      </c>
      <c r="E131" s="4"/>
      <c r="F131" s="4"/>
      <c r="G131" s="4"/>
      <c r="H131" s="4"/>
      <c r="I131" s="4"/>
      <c r="J131" s="4">
        <v>11143000</v>
      </c>
      <c r="K131" s="4">
        <f t="shared" si="51"/>
        <v>0</v>
      </c>
      <c r="L131" s="4"/>
      <c r="M131" s="4"/>
      <c r="N131" s="4"/>
      <c r="O131" s="4">
        <f t="shared" ref="O131:O133" si="67">J131+K131</f>
        <v>11143000</v>
      </c>
      <c r="P131" s="4">
        <f t="shared" si="65"/>
        <v>11143000</v>
      </c>
      <c r="Q131" s="4">
        <f t="shared" si="43"/>
        <v>0</v>
      </c>
      <c r="R131" s="4">
        <f t="shared" ref="R131:R133" si="68">I131+O131</f>
        <v>11143000</v>
      </c>
    </row>
    <row r="132" spans="1:18" s="14" customFormat="1" ht="12" x14ac:dyDescent="0.2">
      <c r="A132" s="1"/>
      <c r="B132" s="2"/>
      <c r="C132" s="2"/>
      <c r="D132" s="3" t="s">
        <v>364</v>
      </c>
      <c r="E132" s="4">
        <v>0</v>
      </c>
      <c r="F132" s="4">
        <f t="shared" ref="F132" si="69">G132</f>
        <v>0</v>
      </c>
      <c r="G132" s="4"/>
      <c r="H132" s="4"/>
      <c r="I132" s="4">
        <f t="shared" ref="I132" si="70">E132+F132</f>
        <v>0</v>
      </c>
      <c r="J132" s="4">
        <v>0</v>
      </c>
      <c r="K132" s="4">
        <f t="shared" si="51"/>
        <v>0</v>
      </c>
      <c r="L132" s="4"/>
      <c r="M132" s="4"/>
      <c r="N132" s="4"/>
      <c r="O132" s="4">
        <f t="shared" si="67"/>
        <v>0</v>
      </c>
      <c r="P132" s="4">
        <f t="shared" si="65"/>
        <v>0</v>
      </c>
      <c r="Q132" s="4">
        <f t="shared" si="43"/>
        <v>0</v>
      </c>
      <c r="R132" s="4">
        <f t="shared" si="68"/>
        <v>0</v>
      </c>
    </row>
    <row r="133" spans="1:18" s="14" customFormat="1" ht="60" x14ac:dyDescent="0.2">
      <c r="A133" s="1"/>
      <c r="B133" s="2"/>
      <c r="C133" s="2"/>
      <c r="D133" s="3" t="s">
        <v>543</v>
      </c>
      <c r="E133" s="4"/>
      <c r="F133" s="4"/>
      <c r="G133" s="4"/>
      <c r="H133" s="4"/>
      <c r="I133" s="4"/>
      <c r="J133" s="4">
        <v>11143000</v>
      </c>
      <c r="K133" s="4">
        <f t="shared" si="51"/>
        <v>0</v>
      </c>
      <c r="L133" s="4"/>
      <c r="M133" s="4"/>
      <c r="N133" s="4"/>
      <c r="O133" s="4">
        <f t="shared" si="67"/>
        <v>11143000</v>
      </c>
      <c r="P133" s="4">
        <f t="shared" si="65"/>
        <v>11143000</v>
      </c>
      <c r="Q133" s="4">
        <f t="shared" si="43"/>
        <v>0</v>
      </c>
      <c r="R133" s="4">
        <f t="shared" si="68"/>
        <v>11143000</v>
      </c>
    </row>
    <row r="134" spans="1:18" s="14" customFormat="1" ht="90.75" customHeight="1" x14ac:dyDescent="0.2">
      <c r="A134" s="1" t="s">
        <v>329</v>
      </c>
      <c r="B134" s="2" t="s">
        <v>326</v>
      </c>
      <c r="C134" s="2" t="s">
        <v>41</v>
      </c>
      <c r="D134" s="3" t="s">
        <v>327</v>
      </c>
      <c r="E134" s="4">
        <v>0</v>
      </c>
      <c r="F134" s="4">
        <f t="shared" si="49"/>
        <v>0</v>
      </c>
      <c r="G134" s="4"/>
      <c r="H134" s="4"/>
      <c r="I134" s="4">
        <f t="shared" si="50"/>
        <v>0</v>
      </c>
      <c r="J134" s="4">
        <v>1500000</v>
      </c>
      <c r="K134" s="4">
        <f t="shared" si="51"/>
        <v>0</v>
      </c>
      <c r="L134" s="4"/>
      <c r="M134" s="4">
        <v>-1373584</v>
      </c>
      <c r="N134" s="4">
        <v>1373584</v>
      </c>
      <c r="O134" s="4">
        <f t="shared" si="52"/>
        <v>1500000</v>
      </c>
      <c r="P134" s="4">
        <f t="shared" si="42"/>
        <v>1500000</v>
      </c>
      <c r="Q134" s="4">
        <f t="shared" si="43"/>
        <v>0</v>
      </c>
      <c r="R134" s="4">
        <f t="shared" si="44"/>
        <v>1500000</v>
      </c>
    </row>
    <row r="135" spans="1:18" s="13" customFormat="1" ht="24" x14ac:dyDescent="0.2">
      <c r="A135" s="16" t="s">
        <v>142</v>
      </c>
      <c r="B135" s="10"/>
      <c r="C135" s="10"/>
      <c r="D135" s="11" t="s">
        <v>416</v>
      </c>
      <c r="E135" s="12">
        <f>E137+E138+E141+E142+E143+E144+E145+E147+E149+E150+E151+E154+E164+E165+E168+E146+E148</f>
        <v>129646736</v>
      </c>
      <c r="F135" s="12">
        <f>F137+F138+F141+F142+F143+F144+F145+F147+F149+F150+F151+F154+F164+F165+F168+F146+F148</f>
        <v>8656613.0199999996</v>
      </c>
      <c r="G135" s="12">
        <f>G137+G138+G141+G142+G143+G144+G145+G147+G149+G150+G151+G154+G164+G165+G168+G146+G148</f>
        <v>8656613.0199999996</v>
      </c>
      <c r="H135" s="12">
        <f>H137+H138+H141+H142+H143+H144+H145+H147+H149+H150+H151+H154+H164+H165+H168+H146+H148</f>
        <v>0</v>
      </c>
      <c r="I135" s="12">
        <f>I137+I138+I141+I142+I143+I144+I145+I147+I149+I150+I151+I154+I164+I165+I168+I146+I148</f>
        <v>138303349.02000001</v>
      </c>
      <c r="J135" s="12">
        <f>J137+J138+J141+J142+J143+J144+J145+J147+J149+J150+J151+J154+J164+J165+J168+J152+J153+J167</f>
        <v>6415693</v>
      </c>
      <c r="K135" s="12">
        <f>K137+K138+K141+K142+K143+K144+K145+K147+K149+K150+K151+K154+K164+K165+K168+K152+K153+K167</f>
        <v>2865234</v>
      </c>
      <c r="L135" s="12">
        <f t="shared" ref="L135:O135" si="71">L137+L138+L141+L142+L143+L144+L145+L147+L149+L150+L151+L154+L164+L165+L168+L152+L153+L167</f>
        <v>2865234</v>
      </c>
      <c r="M135" s="12">
        <f t="shared" si="71"/>
        <v>0</v>
      </c>
      <c r="N135" s="12">
        <f t="shared" si="71"/>
        <v>2865234</v>
      </c>
      <c r="O135" s="12">
        <f t="shared" si="71"/>
        <v>9280927</v>
      </c>
      <c r="P135" s="12">
        <f>E135+J135</f>
        <v>136062429</v>
      </c>
      <c r="Q135" s="12">
        <f>F135+K135</f>
        <v>11521847.02</v>
      </c>
      <c r="R135" s="12">
        <f>I135+O135</f>
        <v>147584276.02000001</v>
      </c>
    </row>
    <row r="136" spans="1:18" s="13" customFormat="1" ht="24" x14ac:dyDescent="0.2">
      <c r="A136" s="16" t="s">
        <v>162</v>
      </c>
      <c r="B136" s="10"/>
      <c r="C136" s="10"/>
      <c r="D136" s="11" t="s">
        <v>416</v>
      </c>
      <c r="E136" s="12"/>
      <c r="F136" s="12"/>
      <c r="G136" s="12"/>
      <c r="H136" s="12"/>
      <c r="I136" s="12"/>
      <c r="J136" s="4">
        <v>0</v>
      </c>
      <c r="K136" s="4"/>
      <c r="L136" s="12"/>
      <c r="M136" s="12"/>
      <c r="N136" s="12"/>
      <c r="O136" s="12"/>
      <c r="P136" s="12">
        <f t="shared" si="42"/>
        <v>0</v>
      </c>
      <c r="Q136" s="12">
        <f t="shared" si="43"/>
        <v>0</v>
      </c>
      <c r="R136" s="12">
        <f t="shared" si="44"/>
        <v>0</v>
      </c>
    </row>
    <row r="137" spans="1:18" s="14" customFormat="1" ht="24" x14ac:dyDescent="0.2">
      <c r="A137" s="1" t="s">
        <v>155</v>
      </c>
      <c r="B137" s="2" t="s">
        <v>81</v>
      </c>
      <c r="C137" s="2" t="s">
        <v>34</v>
      </c>
      <c r="D137" s="3" t="s">
        <v>3</v>
      </c>
      <c r="E137" s="92">
        <v>33841588</v>
      </c>
      <c r="F137" s="92">
        <f t="shared" ref="F137:F168" si="72">G137</f>
        <v>-2605000</v>
      </c>
      <c r="G137" s="92">
        <f>20000-2275000-350000</f>
        <v>-2605000</v>
      </c>
      <c r="H137" s="92"/>
      <c r="I137" s="92">
        <f t="shared" ref="I137:I168" si="73">E137+F137</f>
        <v>31236588</v>
      </c>
      <c r="J137" s="4">
        <v>186671</v>
      </c>
      <c r="K137" s="4">
        <f t="shared" ref="K137:K168" si="74">M137+N137</f>
        <v>0</v>
      </c>
      <c r="L137" s="4"/>
      <c r="M137" s="4"/>
      <c r="N137" s="4"/>
      <c r="O137" s="4">
        <f t="shared" ref="O137:O168" si="75">J137+K137</f>
        <v>186671</v>
      </c>
      <c r="P137" s="4">
        <f t="shared" si="42"/>
        <v>34028259</v>
      </c>
      <c r="Q137" s="4">
        <f t="shared" si="43"/>
        <v>-2605000</v>
      </c>
      <c r="R137" s="4">
        <f t="shared" si="44"/>
        <v>31423259</v>
      </c>
    </row>
    <row r="138" spans="1:18" s="14" customFormat="1" ht="12.75" x14ac:dyDescent="0.2">
      <c r="A138" s="1" t="s">
        <v>338</v>
      </c>
      <c r="B138" s="2" t="s">
        <v>21</v>
      </c>
      <c r="C138" s="2" t="s">
        <v>24</v>
      </c>
      <c r="D138" s="3" t="s">
        <v>198</v>
      </c>
      <c r="E138" s="92">
        <v>10000</v>
      </c>
      <c r="F138" s="92">
        <f t="shared" si="72"/>
        <v>0</v>
      </c>
      <c r="G138" s="92"/>
      <c r="H138" s="92"/>
      <c r="I138" s="92">
        <f t="shared" si="73"/>
        <v>10000</v>
      </c>
      <c r="J138" s="4">
        <v>0</v>
      </c>
      <c r="K138" s="4">
        <f t="shared" si="74"/>
        <v>0</v>
      </c>
      <c r="L138" s="4"/>
      <c r="M138" s="4"/>
      <c r="N138" s="4"/>
      <c r="O138" s="4">
        <f t="shared" si="75"/>
        <v>0</v>
      </c>
      <c r="P138" s="4">
        <f t="shared" si="42"/>
        <v>10000</v>
      </c>
      <c r="Q138" s="4">
        <f t="shared" si="43"/>
        <v>0</v>
      </c>
      <c r="R138" s="4">
        <f t="shared" si="44"/>
        <v>10000</v>
      </c>
    </row>
    <row r="139" spans="1:18" s="14" customFormat="1" ht="12.75" x14ac:dyDescent="0.2">
      <c r="A139" s="1"/>
      <c r="B139" s="2"/>
      <c r="C139" s="2"/>
      <c r="D139" s="3" t="s">
        <v>214</v>
      </c>
      <c r="E139" s="92">
        <v>0</v>
      </c>
      <c r="F139" s="92">
        <f t="shared" si="72"/>
        <v>0</v>
      </c>
      <c r="G139" s="92"/>
      <c r="H139" s="92"/>
      <c r="I139" s="92">
        <f t="shared" si="73"/>
        <v>0</v>
      </c>
      <c r="J139" s="4">
        <v>0</v>
      </c>
      <c r="K139" s="4">
        <f t="shared" si="74"/>
        <v>0</v>
      </c>
      <c r="L139" s="4"/>
      <c r="M139" s="4"/>
      <c r="N139" s="4"/>
      <c r="O139" s="4">
        <f t="shared" si="75"/>
        <v>0</v>
      </c>
      <c r="P139" s="4">
        <f t="shared" si="42"/>
        <v>0</v>
      </c>
      <c r="Q139" s="4">
        <f t="shared" si="43"/>
        <v>0</v>
      </c>
      <c r="R139" s="4">
        <f t="shared" si="44"/>
        <v>0</v>
      </c>
    </row>
    <row r="140" spans="1:18" s="14" customFormat="1" ht="12.75" x14ac:dyDescent="0.2">
      <c r="A140" s="1"/>
      <c r="B140" s="2"/>
      <c r="C140" s="2"/>
      <c r="D140" s="15" t="s">
        <v>387</v>
      </c>
      <c r="E140" s="92">
        <v>10000</v>
      </c>
      <c r="F140" s="92">
        <f t="shared" si="72"/>
        <v>0</v>
      </c>
      <c r="G140" s="92"/>
      <c r="H140" s="92"/>
      <c r="I140" s="92">
        <f t="shared" si="73"/>
        <v>10000</v>
      </c>
      <c r="J140" s="4">
        <v>0</v>
      </c>
      <c r="K140" s="4">
        <f t="shared" si="74"/>
        <v>0</v>
      </c>
      <c r="L140" s="4"/>
      <c r="M140" s="4"/>
      <c r="N140" s="4"/>
      <c r="O140" s="4">
        <f t="shared" si="75"/>
        <v>0</v>
      </c>
      <c r="P140" s="4">
        <f t="shared" si="42"/>
        <v>10000</v>
      </c>
      <c r="Q140" s="4">
        <f t="shared" si="43"/>
        <v>0</v>
      </c>
      <c r="R140" s="4">
        <f t="shared" si="44"/>
        <v>10000</v>
      </c>
    </row>
    <row r="141" spans="1:18" s="14" customFormat="1" ht="24" x14ac:dyDescent="0.2">
      <c r="A141" s="1" t="s">
        <v>156</v>
      </c>
      <c r="B141" s="2">
        <v>3031</v>
      </c>
      <c r="C141" s="2" t="s">
        <v>64</v>
      </c>
      <c r="D141" s="3" t="s">
        <v>131</v>
      </c>
      <c r="E141" s="92">
        <v>120000</v>
      </c>
      <c r="F141" s="92">
        <f t="shared" si="72"/>
        <v>0</v>
      </c>
      <c r="G141" s="92"/>
      <c r="H141" s="92"/>
      <c r="I141" s="92">
        <f t="shared" si="73"/>
        <v>120000</v>
      </c>
      <c r="J141" s="4">
        <v>100000</v>
      </c>
      <c r="K141" s="4">
        <f t="shared" si="74"/>
        <v>0</v>
      </c>
      <c r="L141" s="4"/>
      <c r="M141" s="4"/>
      <c r="N141" s="4"/>
      <c r="O141" s="4">
        <f t="shared" si="75"/>
        <v>100000</v>
      </c>
      <c r="P141" s="4">
        <f t="shared" si="42"/>
        <v>220000</v>
      </c>
      <c r="Q141" s="4">
        <f t="shared" si="43"/>
        <v>0</v>
      </c>
      <c r="R141" s="4">
        <f t="shared" si="44"/>
        <v>220000</v>
      </c>
    </row>
    <row r="142" spans="1:18" s="14" customFormat="1" ht="24" x14ac:dyDescent="0.2">
      <c r="A142" s="1" t="s">
        <v>157</v>
      </c>
      <c r="B142" s="2" t="s">
        <v>132</v>
      </c>
      <c r="C142" s="2" t="s">
        <v>38</v>
      </c>
      <c r="D142" s="3" t="s">
        <v>4</v>
      </c>
      <c r="E142" s="92">
        <v>1400152</v>
      </c>
      <c r="F142" s="92">
        <f t="shared" si="72"/>
        <v>-104775</v>
      </c>
      <c r="G142" s="92">
        <v>-104775</v>
      </c>
      <c r="H142" s="92"/>
      <c r="I142" s="92">
        <f t="shared" si="73"/>
        <v>1295377</v>
      </c>
      <c r="J142" s="4">
        <v>0</v>
      </c>
      <c r="K142" s="4">
        <f t="shared" si="74"/>
        <v>0</v>
      </c>
      <c r="L142" s="4"/>
      <c r="M142" s="4"/>
      <c r="N142" s="4"/>
      <c r="O142" s="4">
        <f t="shared" si="75"/>
        <v>0</v>
      </c>
      <c r="P142" s="4">
        <f t="shared" si="42"/>
        <v>1400152</v>
      </c>
      <c r="Q142" s="4">
        <f t="shared" si="43"/>
        <v>-104775</v>
      </c>
      <c r="R142" s="4">
        <f t="shared" si="44"/>
        <v>1295377</v>
      </c>
    </row>
    <row r="143" spans="1:18" s="14" customFormat="1" ht="36" x14ac:dyDescent="0.2">
      <c r="A143" s="1" t="s">
        <v>191</v>
      </c>
      <c r="B143" s="2" t="s">
        <v>192</v>
      </c>
      <c r="C143" s="2" t="s">
        <v>38</v>
      </c>
      <c r="D143" s="3" t="s">
        <v>72</v>
      </c>
      <c r="E143" s="92">
        <v>16470000</v>
      </c>
      <c r="F143" s="92">
        <f t="shared" si="72"/>
        <v>3300000</v>
      </c>
      <c r="G143" s="92">
        <v>3300000</v>
      </c>
      <c r="H143" s="92"/>
      <c r="I143" s="92">
        <f t="shared" si="73"/>
        <v>19770000</v>
      </c>
      <c r="J143" s="4">
        <v>0</v>
      </c>
      <c r="K143" s="4">
        <f t="shared" si="74"/>
        <v>0</v>
      </c>
      <c r="L143" s="4"/>
      <c r="M143" s="4"/>
      <c r="N143" s="4"/>
      <c r="O143" s="4">
        <f t="shared" si="75"/>
        <v>0</v>
      </c>
      <c r="P143" s="4">
        <f t="shared" si="42"/>
        <v>16470000</v>
      </c>
      <c r="Q143" s="4">
        <f t="shared" si="43"/>
        <v>3300000</v>
      </c>
      <c r="R143" s="4">
        <f t="shared" si="44"/>
        <v>19770000</v>
      </c>
    </row>
    <row r="144" spans="1:18" s="14" customFormat="1" ht="24" x14ac:dyDescent="0.2">
      <c r="A144" s="1" t="s">
        <v>193</v>
      </c>
      <c r="B144" s="2" t="s">
        <v>194</v>
      </c>
      <c r="C144" s="2" t="s">
        <v>38</v>
      </c>
      <c r="D144" s="3" t="s">
        <v>5</v>
      </c>
      <c r="E144" s="92">
        <v>600000</v>
      </c>
      <c r="F144" s="92">
        <f t="shared" si="72"/>
        <v>0</v>
      </c>
      <c r="G144" s="92"/>
      <c r="H144" s="92"/>
      <c r="I144" s="92">
        <f t="shared" si="73"/>
        <v>600000</v>
      </c>
      <c r="J144" s="4">
        <v>0</v>
      </c>
      <c r="K144" s="4">
        <f t="shared" si="74"/>
        <v>0</v>
      </c>
      <c r="L144" s="4"/>
      <c r="M144" s="4"/>
      <c r="N144" s="4"/>
      <c r="O144" s="4">
        <f t="shared" si="75"/>
        <v>0</v>
      </c>
      <c r="P144" s="4">
        <f t="shared" si="42"/>
        <v>600000</v>
      </c>
      <c r="Q144" s="4">
        <f t="shared" si="43"/>
        <v>0</v>
      </c>
      <c r="R144" s="4">
        <f t="shared" si="44"/>
        <v>600000</v>
      </c>
    </row>
    <row r="145" spans="1:18" s="14" customFormat="1" ht="24" x14ac:dyDescent="0.2">
      <c r="A145" s="1" t="s">
        <v>195</v>
      </c>
      <c r="B145" s="2" t="s">
        <v>196</v>
      </c>
      <c r="C145" s="2" t="s">
        <v>38</v>
      </c>
      <c r="D145" s="3" t="s">
        <v>22</v>
      </c>
      <c r="E145" s="92">
        <v>22130000</v>
      </c>
      <c r="F145" s="92">
        <f t="shared" si="72"/>
        <v>3500000</v>
      </c>
      <c r="G145" s="92">
        <v>3500000</v>
      </c>
      <c r="H145" s="92"/>
      <c r="I145" s="92">
        <f t="shared" si="73"/>
        <v>25630000</v>
      </c>
      <c r="J145" s="4">
        <v>0</v>
      </c>
      <c r="K145" s="4">
        <f t="shared" si="74"/>
        <v>0</v>
      </c>
      <c r="L145" s="4"/>
      <c r="M145" s="4"/>
      <c r="N145" s="4"/>
      <c r="O145" s="4">
        <f t="shared" si="75"/>
        <v>0</v>
      </c>
      <c r="P145" s="4">
        <f t="shared" si="42"/>
        <v>22130000</v>
      </c>
      <c r="Q145" s="4">
        <f t="shared" si="43"/>
        <v>3500000</v>
      </c>
      <c r="R145" s="4">
        <f t="shared" si="44"/>
        <v>25630000</v>
      </c>
    </row>
    <row r="146" spans="1:18" s="14" customFormat="1" ht="24" x14ac:dyDescent="0.2">
      <c r="A146" s="1" t="s">
        <v>158</v>
      </c>
      <c r="B146" s="2">
        <v>3050</v>
      </c>
      <c r="C146" s="2" t="s">
        <v>38</v>
      </c>
      <c r="D146" s="3" t="s">
        <v>73</v>
      </c>
      <c r="E146" s="92">
        <v>246200</v>
      </c>
      <c r="F146" s="92">
        <f t="shared" si="72"/>
        <v>0</v>
      </c>
      <c r="G146" s="92"/>
      <c r="H146" s="92"/>
      <c r="I146" s="92">
        <f t="shared" si="73"/>
        <v>246200</v>
      </c>
      <c r="J146" s="4">
        <v>0</v>
      </c>
      <c r="K146" s="4">
        <f t="shared" si="74"/>
        <v>0</v>
      </c>
      <c r="L146" s="4"/>
      <c r="M146" s="4"/>
      <c r="N146" s="4"/>
      <c r="O146" s="4">
        <f t="shared" si="75"/>
        <v>0</v>
      </c>
      <c r="P146" s="4">
        <f t="shared" si="42"/>
        <v>246200</v>
      </c>
      <c r="Q146" s="4">
        <f t="shared" si="43"/>
        <v>0</v>
      </c>
      <c r="R146" s="4">
        <f t="shared" si="44"/>
        <v>246200</v>
      </c>
    </row>
    <row r="147" spans="1:18" s="14" customFormat="1" ht="24" x14ac:dyDescent="0.2">
      <c r="A147" s="1" t="s">
        <v>159</v>
      </c>
      <c r="B147" s="2">
        <v>3090</v>
      </c>
      <c r="C147" s="2" t="s">
        <v>64</v>
      </c>
      <c r="D147" s="3" t="s">
        <v>342</v>
      </c>
      <c r="E147" s="92">
        <v>220700</v>
      </c>
      <c r="F147" s="92">
        <f t="shared" si="72"/>
        <v>-20000</v>
      </c>
      <c r="G147" s="92">
        <v>-20000</v>
      </c>
      <c r="H147" s="92"/>
      <c r="I147" s="92">
        <f t="shared" si="73"/>
        <v>200700</v>
      </c>
      <c r="J147" s="4">
        <v>0</v>
      </c>
      <c r="K147" s="4">
        <f t="shared" si="74"/>
        <v>0</v>
      </c>
      <c r="L147" s="4"/>
      <c r="M147" s="4"/>
      <c r="N147" s="4"/>
      <c r="O147" s="4">
        <f t="shared" si="75"/>
        <v>0</v>
      </c>
      <c r="P147" s="4">
        <f t="shared" si="42"/>
        <v>220700</v>
      </c>
      <c r="Q147" s="4">
        <f t="shared" si="43"/>
        <v>-20000</v>
      </c>
      <c r="R147" s="4">
        <f t="shared" si="44"/>
        <v>200700</v>
      </c>
    </row>
    <row r="148" spans="1:18" s="14" customFormat="1" ht="61.15" customHeight="1" x14ac:dyDescent="0.2">
      <c r="A148" s="24" t="s">
        <v>504</v>
      </c>
      <c r="B148" s="2" t="s">
        <v>109</v>
      </c>
      <c r="C148" s="2" t="s">
        <v>53</v>
      </c>
      <c r="D148" s="25" t="s">
        <v>110</v>
      </c>
      <c r="E148" s="92">
        <v>0</v>
      </c>
      <c r="F148" s="92">
        <f t="shared" si="72"/>
        <v>0</v>
      </c>
      <c r="G148" s="92"/>
      <c r="H148" s="92"/>
      <c r="I148" s="92">
        <f t="shared" si="73"/>
        <v>0</v>
      </c>
      <c r="J148" s="4"/>
      <c r="K148" s="4"/>
      <c r="L148" s="4"/>
      <c r="M148" s="4"/>
      <c r="N148" s="4"/>
      <c r="O148" s="4"/>
      <c r="P148" s="4"/>
      <c r="Q148" s="4"/>
      <c r="R148" s="4"/>
    </row>
    <row r="149" spans="1:18" s="14" customFormat="1" ht="60" x14ac:dyDescent="0.2">
      <c r="A149" s="1" t="s">
        <v>313</v>
      </c>
      <c r="B149" s="2" t="s">
        <v>314</v>
      </c>
      <c r="C149" s="2" t="s">
        <v>66</v>
      </c>
      <c r="D149" s="3" t="s">
        <v>315</v>
      </c>
      <c r="E149" s="92">
        <v>2038300</v>
      </c>
      <c r="F149" s="92">
        <f t="shared" si="72"/>
        <v>58226.45</v>
      </c>
      <c r="G149" s="92">
        <v>58226.45</v>
      </c>
      <c r="H149" s="92"/>
      <c r="I149" s="92">
        <f t="shared" si="73"/>
        <v>2096526.45</v>
      </c>
      <c r="J149" s="4">
        <v>0</v>
      </c>
      <c r="K149" s="4">
        <f t="shared" si="74"/>
        <v>0</v>
      </c>
      <c r="L149" s="4"/>
      <c r="M149" s="4"/>
      <c r="N149" s="4"/>
      <c r="O149" s="4">
        <f t="shared" si="75"/>
        <v>0</v>
      </c>
      <c r="P149" s="4">
        <f t="shared" si="42"/>
        <v>2038300</v>
      </c>
      <c r="Q149" s="4">
        <f t="shared" si="43"/>
        <v>58226.45</v>
      </c>
      <c r="R149" s="4">
        <f t="shared" si="44"/>
        <v>2096526.45</v>
      </c>
    </row>
    <row r="150" spans="1:18" s="14" customFormat="1" ht="60" x14ac:dyDescent="0.2">
      <c r="A150" s="1" t="s">
        <v>299</v>
      </c>
      <c r="B150" s="2" t="s">
        <v>300</v>
      </c>
      <c r="C150" s="2" t="s">
        <v>65</v>
      </c>
      <c r="D150" s="3" t="s">
        <v>298</v>
      </c>
      <c r="E150" s="92">
        <v>12273010</v>
      </c>
      <c r="F150" s="92">
        <f t="shared" si="72"/>
        <v>1313940</v>
      </c>
      <c r="G150" s="92">
        <f>-47100-49900-49900+700000+800000-39160</f>
        <v>1313940</v>
      </c>
      <c r="H150" s="92"/>
      <c r="I150" s="92">
        <f t="shared" si="73"/>
        <v>13586950</v>
      </c>
      <c r="J150" s="4">
        <v>0</v>
      </c>
      <c r="K150" s="4">
        <f t="shared" si="74"/>
        <v>0</v>
      </c>
      <c r="L150" s="4"/>
      <c r="M150" s="4"/>
      <c r="N150" s="4"/>
      <c r="O150" s="4">
        <f t="shared" si="75"/>
        <v>0</v>
      </c>
      <c r="P150" s="4">
        <f t="shared" si="42"/>
        <v>12273010</v>
      </c>
      <c r="Q150" s="4">
        <f t="shared" si="43"/>
        <v>1313940</v>
      </c>
      <c r="R150" s="4">
        <f t="shared" si="44"/>
        <v>13586950</v>
      </c>
    </row>
    <row r="151" spans="1:18" s="14" customFormat="1" ht="36" x14ac:dyDescent="0.2">
      <c r="A151" s="1" t="s">
        <v>301</v>
      </c>
      <c r="B151" s="2" t="s">
        <v>302</v>
      </c>
      <c r="C151" s="2" t="s">
        <v>64</v>
      </c>
      <c r="D151" s="3" t="s">
        <v>343</v>
      </c>
      <c r="E151" s="92">
        <v>111000</v>
      </c>
      <c r="F151" s="92">
        <f t="shared" si="72"/>
        <v>-20000</v>
      </c>
      <c r="G151" s="92">
        <v>-20000</v>
      </c>
      <c r="H151" s="92"/>
      <c r="I151" s="92">
        <f t="shared" si="73"/>
        <v>91000</v>
      </c>
      <c r="J151" s="4">
        <v>0</v>
      </c>
      <c r="K151" s="4">
        <f t="shared" si="74"/>
        <v>0</v>
      </c>
      <c r="L151" s="4"/>
      <c r="M151" s="4"/>
      <c r="N151" s="4"/>
      <c r="O151" s="4">
        <f t="shared" si="75"/>
        <v>0</v>
      </c>
      <c r="P151" s="4">
        <f t="shared" si="42"/>
        <v>111000</v>
      </c>
      <c r="Q151" s="4">
        <f t="shared" si="43"/>
        <v>-20000</v>
      </c>
      <c r="R151" s="4">
        <f t="shared" si="44"/>
        <v>91000</v>
      </c>
    </row>
    <row r="152" spans="1:18" s="14" customFormat="1" ht="204" x14ac:dyDescent="0.2">
      <c r="A152" s="26" t="s">
        <v>526</v>
      </c>
      <c r="B152" s="27" t="s">
        <v>527</v>
      </c>
      <c r="C152" s="27" t="s">
        <v>65</v>
      </c>
      <c r="D152" s="28" t="s">
        <v>528</v>
      </c>
      <c r="E152" s="92"/>
      <c r="F152" s="92"/>
      <c r="G152" s="92"/>
      <c r="H152" s="92"/>
      <c r="I152" s="92"/>
      <c r="J152" s="4">
        <v>2849551</v>
      </c>
      <c r="K152" s="4">
        <f t="shared" si="74"/>
        <v>0</v>
      </c>
      <c r="L152" s="4"/>
      <c r="M152" s="4"/>
      <c r="N152" s="4"/>
      <c r="O152" s="4">
        <f t="shared" si="75"/>
        <v>2849551</v>
      </c>
      <c r="P152" s="4">
        <f t="shared" ref="P152:P153" si="76">E152+J152</f>
        <v>2849551</v>
      </c>
      <c r="Q152" s="4">
        <f t="shared" ref="Q152:Q153" si="77">F152+K152</f>
        <v>0</v>
      </c>
      <c r="R152" s="4">
        <f t="shared" ref="R152:R153" si="78">I152+O152</f>
        <v>2849551</v>
      </c>
    </row>
    <row r="153" spans="1:18" s="14" customFormat="1" ht="170.25" customHeight="1" x14ac:dyDescent="0.2">
      <c r="A153" s="1" t="s">
        <v>529</v>
      </c>
      <c r="B153" s="2" t="s">
        <v>530</v>
      </c>
      <c r="C153" s="2" t="s">
        <v>65</v>
      </c>
      <c r="D153" s="3" t="s">
        <v>531</v>
      </c>
      <c r="E153" s="92"/>
      <c r="F153" s="92"/>
      <c r="G153" s="92"/>
      <c r="H153" s="92"/>
      <c r="I153" s="92"/>
      <c r="J153" s="4">
        <v>1728052</v>
      </c>
      <c r="K153" s="4">
        <f t="shared" si="74"/>
        <v>0</v>
      </c>
      <c r="L153" s="4"/>
      <c r="M153" s="4"/>
      <c r="N153" s="4"/>
      <c r="O153" s="4">
        <f t="shared" si="75"/>
        <v>1728052</v>
      </c>
      <c r="P153" s="4">
        <f t="shared" si="76"/>
        <v>1728052</v>
      </c>
      <c r="Q153" s="4">
        <f t="shared" si="77"/>
        <v>0</v>
      </c>
      <c r="R153" s="4">
        <f t="shared" si="78"/>
        <v>1728052</v>
      </c>
    </row>
    <row r="154" spans="1:18" s="14" customFormat="1" ht="14.25" customHeight="1" x14ac:dyDescent="0.2">
      <c r="A154" s="1" t="s">
        <v>306</v>
      </c>
      <c r="B154" s="2" t="s">
        <v>307</v>
      </c>
      <c r="C154" s="2"/>
      <c r="D154" s="3" t="s">
        <v>344</v>
      </c>
      <c r="E154" s="92">
        <f>25945622+10000</f>
        <v>25955622</v>
      </c>
      <c r="F154" s="92">
        <f t="shared" si="72"/>
        <v>2246221.5700000003</v>
      </c>
      <c r="G154" s="92">
        <f>G155+G160</f>
        <v>2246221.5700000003</v>
      </c>
      <c r="H154" s="92"/>
      <c r="I154" s="92">
        <f>E154+F154</f>
        <v>28201843.57</v>
      </c>
      <c r="J154" s="4">
        <v>951419</v>
      </c>
      <c r="K154" s="4">
        <f>K155+K160</f>
        <v>-18883</v>
      </c>
      <c r="L154" s="4">
        <f>L155+L160</f>
        <v>-18883</v>
      </c>
      <c r="M154" s="4">
        <f t="shared" ref="M154" si="79">M155+M160</f>
        <v>0</v>
      </c>
      <c r="N154" s="4">
        <f>N155+N160</f>
        <v>-18883</v>
      </c>
      <c r="O154" s="4">
        <f t="shared" si="75"/>
        <v>932536</v>
      </c>
      <c r="P154" s="4">
        <f t="shared" si="42"/>
        <v>26907041</v>
      </c>
      <c r="Q154" s="4">
        <f>F154+K154</f>
        <v>2227338.5700000003</v>
      </c>
      <c r="R154" s="4">
        <f t="shared" si="44"/>
        <v>29134379.57</v>
      </c>
    </row>
    <row r="155" spans="1:18" s="14" customFormat="1" ht="24" x14ac:dyDescent="0.2">
      <c r="A155" s="1" t="s">
        <v>303</v>
      </c>
      <c r="B155" s="2" t="s">
        <v>304</v>
      </c>
      <c r="C155" s="2" t="s">
        <v>68</v>
      </c>
      <c r="D155" s="3" t="s">
        <v>305</v>
      </c>
      <c r="E155" s="92">
        <f>E157+E158+E159</f>
        <v>4090086</v>
      </c>
      <c r="F155" s="92">
        <f t="shared" si="72"/>
        <v>464943</v>
      </c>
      <c r="G155" s="92">
        <f>G157+G158+G159</f>
        <v>464943</v>
      </c>
      <c r="H155" s="92"/>
      <c r="I155" s="92">
        <f>E155+F155</f>
        <v>4555029</v>
      </c>
      <c r="J155" s="4">
        <v>951419</v>
      </c>
      <c r="K155" s="4">
        <f>M155+N155</f>
        <v>-18883</v>
      </c>
      <c r="L155" s="4">
        <f>-18883</f>
        <v>-18883</v>
      </c>
      <c r="M155" s="4"/>
      <c r="N155" s="4">
        <f>-18883</f>
        <v>-18883</v>
      </c>
      <c r="O155" s="4">
        <f>J155+K155</f>
        <v>932536</v>
      </c>
      <c r="P155" s="4">
        <f t="shared" si="42"/>
        <v>5041505</v>
      </c>
      <c r="Q155" s="4">
        <f t="shared" si="43"/>
        <v>446060</v>
      </c>
      <c r="R155" s="4">
        <f t="shared" si="44"/>
        <v>5487565</v>
      </c>
    </row>
    <row r="156" spans="1:18" s="14" customFormat="1" ht="12.75" x14ac:dyDescent="0.2">
      <c r="A156" s="1"/>
      <c r="B156" s="2"/>
      <c r="C156" s="2"/>
      <c r="D156" s="21" t="s">
        <v>311</v>
      </c>
      <c r="E156" s="92">
        <v>0</v>
      </c>
      <c r="F156" s="92">
        <f t="shared" si="72"/>
        <v>0</v>
      </c>
      <c r="G156" s="92"/>
      <c r="H156" s="92"/>
      <c r="I156" s="92">
        <f t="shared" si="73"/>
        <v>0</v>
      </c>
      <c r="J156" s="4">
        <v>0</v>
      </c>
      <c r="K156" s="4">
        <f t="shared" si="74"/>
        <v>0</v>
      </c>
      <c r="L156" s="4"/>
      <c r="M156" s="4"/>
      <c r="N156" s="4"/>
      <c r="O156" s="4">
        <f t="shared" si="75"/>
        <v>0</v>
      </c>
      <c r="P156" s="4">
        <f t="shared" si="42"/>
        <v>0</v>
      </c>
      <c r="Q156" s="4">
        <f t="shared" si="43"/>
        <v>0</v>
      </c>
      <c r="R156" s="4">
        <f t="shared" si="44"/>
        <v>0</v>
      </c>
    </row>
    <row r="157" spans="1:18" s="14" customFormat="1" ht="12.75" x14ac:dyDescent="0.2">
      <c r="A157" s="1"/>
      <c r="B157" s="2"/>
      <c r="C157" s="2"/>
      <c r="D157" s="21" t="s">
        <v>256</v>
      </c>
      <c r="E157" s="92">
        <v>490000</v>
      </c>
      <c r="F157" s="92">
        <f t="shared" si="72"/>
        <v>0</v>
      </c>
      <c r="G157" s="92"/>
      <c r="H157" s="92"/>
      <c r="I157" s="92">
        <f t="shared" si="73"/>
        <v>490000</v>
      </c>
      <c r="J157" s="4">
        <v>0</v>
      </c>
      <c r="K157" s="4">
        <f t="shared" si="74"/>
        <v>0</v>
      </c>
      <c r="L157" s="4"/>
      <c r="M157" s="4"/>
      <c r="N157" s="4"/>
      <c r="O157" s="4">
        <f t="shared" si="75"/>
        <v>0</v>
      </c>
      <c r="P157" s="4">
        <f t="shared" si="42"/>
        <v>490000</v>
      </c>
      <c r="Q157" s="4">
        <f t="shared" si="43"/>
        <v>0</v>
      </c>
      <c r="R157" s="4">
        <f t="shared" si="44"/>
        <v>490000</v>
      </c>
    </row>
    <row r="158" spans="1:18" s="14" customFormat="1" ht="24" x14ac:dyDescent="0.2">
      <c r="A158" s="1"/>
      <c r="B158" s="2"/>
      <c r="C158" s="2"/>
      <c r="D158" s="21" t="s">
        <v>257</v>
      </c>
      <c r="E158" s="92">
        <v>1527186</v>
      </c>
      <c r="F158" s="92">
        <f t="shared" si="72"/>
        <v>110000</v>
      </c>
      <c r="G158" s="92">
        <f>110000</f>
        <v>110000</v>
      </c>
      <c r="H158" s="92"/>
      <c r="I158" s="92">
        <f t="shared" si="73"/>
        <v>1637186</v>
      </c>
      <c r="J158" s="4">
        <v>53047</v>
      </c>
      <c r="K158" s="4">
        <f t="shared" si="74"/>
        <v>-18883</v>
      </c>
      <c r="L158" s="4">
        <f>-18883</f>
        <v>-18883</v>
      </c>
      <c r="M158" s="4"/>
      <c r="N158" s="4">
        <f>-18883</f>
        <v>-18883</v>
      </c>
      <c r="O158" s="4">
        <f t="shared" si="75"/>
        <v>34164</v>
      </c>
      <c r="P158" s="4">
        <f>E158+J158</f>
        <v>1580233</v>
      </c>
      <c r="Q158" s="4">
        <f t="shared" si="43"/>
        <v>91117</v>
      </c>
      <c r="R158" s="4">
        <f t="shared" si="44"/>
        <v>1671350</v>
      </c>
    </row>
    <row r="159" spans="1:18" s="14" customFormat="1" ht="12.75" x14ac:dyDescent="0.2">
      <c r="A159" s="1"/>
      <c r="B159" s="2"/>
      <c r="C159" s="2"/>
      <c r="D159" s="21" t="s">
        <v>258</v>
      </c>
      <c r="E159" s="92">
        <v>2072900</v>
      </c>
      <c r="F159" s="92">
        <f t="shared" si="72"/>
        <v>354943</v>
      </c>
      <c r="G159" s="92">
        <f>18883+47100+150000+49900+49900+39160</f>
        <v>354943</v>
      </c>
      <c r="H159" s="92"/>
      <c r="I159" s="92">
        <f t="shared" si="73"/>
        <v>2427843</v>
      </c>
      <c r="J159" s="4">
        <v>898372</v>
      </c>
      <c r="K159" s="4">
        <f t="shared" si="74"/>
        <v>0</v>
      </c>
      <c r="L159" s="4"/>
      <c r="M159" s="4"/>
      <c r="N159" s="4"/>
      <c r="O159" s="4">
        <f t="shared" si="75"/>
        <v>898372</v>
      </c>
      <c r="P159" s="4">
        <f>E159+J159</f>
        <v>2971272</v>
      </c>
      <c r="Q159" s="4">
        <f>F159+K159</f>
        <v>354943</v>
      </c>
      <c r="R159" s="4">
        <f>I159+O159</f>
        <v>3326215</v>
      </c>
    </row>
    <row r="160" spans="1:18" s="14" customFormat="1" ht="24" x14ac:dyDescent="0.2">
      <c r="A160" s="1" t="s">
        <v>308</v>
      </c>
      <c r="B160" s="2" t="s">
        <v>309</v>
      </c>
      <c r="C160" s="2" t="s">
        <v>68</v>
      </c>
      <c r="D160" s="3" t="s">
        <v>310</v>
      </c>
      <c r="E160" s="92">
        <f>21855536+10000</f>
        <v>21865536</v>
      </c>
      <c r="F160" s="92">
        <f t="shared" si="72"/>
        <v>1781278.57</v>
      </c>
      <c r="G160" s="92">
        <f>G162</f>
        <v>1781278.57</v>
      </c>
      <c r="H160" s="92"/>
      <c r="I160" s="92">
        <f>E160+F160</f>
        <v>23646814.57</v>
      </c>
      <c r="J160" s="4">
        <v>0</v>
      </c>
      <c r="K160" s="4">
        <f t="shared" si="74"/>
        <v>0</v>
      </c>
      <c r="L160" s="4"/>
      <c r="M160" s="4"/>
      <c r="N160" s="4"/>
      <c r="O160" s="4">
        <f t="shared" si="75"/>
        <v>0</v>
      </c>
      <c r="P160" s="4">
        <f t="shared" si="42"/>
        <v>21865536</v>
      </c>
      <c r="Q160" s="4">
        <f t="shared" si="43"/>
        <v>1781278.57</v>
      </c>
      <c r="R160" s="4">
        <f t="shared" si="44"/>
        <v>23646814.57</v>
      </c>
    </row>
    <row r="161" spans="1:18" s="14" customFormat="1" ht="12.75" x14ac:dyDescent="0.2">
      <c r="A161" s="1"/>
      <c r="B161" s="2"/>
      <c r="C161" s="2"/>
      <c r="D161" s="21" t="s">
        <v>311</v>
      </c>
      <c r="E161" s="92">
        <v>0</v>
      </c>
      <c r="F161" s="92">
        <f t="shared" si="72"/>
        <v>0</v>
      </c>
      <c r="G161" s="92"/>
      <c r="H161" s="92"/>
      <c r="I161" s="92">
        <f t="shared" si="73"/>
        <v>0</v>
      </c>
      <c r="J161" s="4">
        <v>0</v>
      </c>
      <c r="K161" s="4">
        <f t="shared" si="74"/>
        <v>0</v>
      </c>
      <c r="L161" s="4"/>
      <c r="M161" s="4"/>
      <c r="N161" s="4"/>
      <c r="O161" s="4">
        <f t="shared" si="75"/>
        <v>0</v>
      </c>
      <c r="P161" s="4">
        <f t="shared" si="42"/>
        <v>0</v>
      </c>
      <c r="Q161" s="4">
        <f t="shared" si="43"/>
        <v>0</v>
      </c>
      <c r="R161" s="4">
        <f t="shared" si="44"/>
        <v>0</v>
      </c>
    </row>
    <row r="162" spans="1:18" s="14" customFormat="1" ht="16.5" customHeight="1" x14ac:dyDescent="0.2">
      <c r="A162" s="1"/>
      <c r="B162" s="2"/>
      <c r="C162" s="2"/>
      <c r="D162" s="21" t="s">
        <v>312</v>
      </c>
      <c r="E162" s="92">
        <f>20517740+10000</f>
        <v>20527740</v>
      </c>
      <c r="F162" s="92">
        <f t="shared" si="72"/>
        <v>1781278.57</v>
      </c>
      <c r="G162" s="92">
        <f>106730+900000+46548.57+48000+680000</f>
        <v>1781278.57</v>
      </c>
      <c r="H162" s="92"/>
      <c r="I162" s="92">
        <f t="shared" si="73"/>
        <v>22309018.57</v>
      </c>
      <c r="J162" s="4">
        <v>0</v>
      </c>
      <c r="K162" s="4">
        <f t="shared" si="74"/>
        <v>0</v>
      </c>
      <c r="L162" s="4"/>
      <c r="M162" s="4"/>
      <c r="N162" s="4"/>
      <c r="O162" s="4">
        <f t="shared" si="75"/>
        <v>0</v>
      </c>
      <c r="P162" s="4">
        <f t="shared" si="42"/>
        <v>20527740</v>
      </c>
      <c r="Q162" s="4">
        <f t="shared" si="43"/>
        <v>1781278.57</v>
      </c>
      <c r="R162" s="4">
        <f t="shared" si="44"/>
        <v>22309018.57</v>
      </c>
    </row>
    <row r="163" spans="1:18" s="14" customFormat="1" ht="14.25" customHeight="1" x14ac:dyDescent="0.2">
      <c r="A163" s="1"/>
      <c r="B163" s="2"/>
      <c r="C163" s="2"/>
      <c r="D163" s="21" t="s">
        <v>255</v>
      </c>
      <c r="E163" s="92">
        <v>545800</v>
      </c>
      <c r="F163" s="92">
        <f t="shared" si="72"/>
        <v>0</v>
      </c>
      <c r="G163" s="92"/>
      <c r="H163" s="92"/>
      <c r="I163" s="92">
        <f t="shared" si="73"/>
        <v>545800</v>
      </c>
      <c r="J163" s="4">
        <v>0</v>
      </c>
      <c r="K163" s="4">
        <f t="shared" si="74"/>
        <v>0</v>
      </c>
      <c r="L163" s="4"/>
      <c r="M163" s="4"/>
      <c r="N163" s="4"/>
      <c r="O163" s="4">
        <f t="shared" si="75"/>
        <v>0</v>
      </c>
      <c r="P163" s="4">
        <f t="shared" si="42"/>
        <v>545800</v>
      </c>
      <c r="Q163" s="4">
        <f t="shared" si="43"/>
        <v>0</v>
      </c>
      <c r="R163" s="4">
        <f t="shared" si="44"/>
        <v>545800</v>
      </c>
    </row>
    <row r="164" spans="1:18" s="14" customFormat="1" ht="48" x14ac:dyDescent="0.2">
      <c r="A164" s="1" t="s">
        <v>160</v>
      </c>
      <c r="B164" s="2">
        <v>3104</v>
      </c>
      <c r="C164" s="2" t="s">
        <v>67</v>
      </c>
      <c r="D164" s="3" t="s">
        <v>6</v>
      </c>
      <c r="E164" s="92">
        <v>10046041</v>
      </c>
      <c r="F164" s="92">
        <f t="shared" si="72"/>
        <v>570000</v>
      </c>
      <c r="G164" s="92">
        <v>570000</v>
      </c>
      <c r="H164" s="92"/>
      <c r="I164" s="92">
        <f t="shared" si="73"/>
        <v>10616041</v>
      </c>
      <c r="J164" s="4">
        <v>0</v>
      </c>
      <c r="K164" s="4">
        <f t="shared" si="74"/>
        <v>0</v>
      </c>
      <c r="L164" s="4"/>
      <c r="M164" s="4"/>
      <c r="N164" s="4"/>
      <c r="O164" s="4">
        <f t="shared" si="75"/>
        <v>0</v>
      </c>
      <c r="P164" s="4">
        <f t="shared" si="42"/>
        <v>10046041</v>
      </c>
      <c r="Q164" s="4">
        <f t="shared" si="43"/>
        <v>570000</v>
      </c>
      <c r="R164" s="4">
        <f t="shared" si="44"/>
        <v>10616041</v>
      </c>
    </row>
    <row r="165" spans="1:18" s="14" customFormat="1" ht="24" x14ac:dyDescent="0.2">
      <c r="A165" s="1" t="s">
        <v>161</v>
      </c>
      <c r="B165" s="2" t="s">
        <v>133</v>
      </c>
      <c r="C165" s="2" t="s">
        <v>53</v>
      </c>
      <c r="D165" s="3" t="s">
        <v>492</v>
      </c>
      <c r="E165" s="92">
        <v>4184123</v>
      </c>
      <c r="F165" s="92">
        <f t="shared" si="72"/>
        <v>418000</v>
      </c>
      <c r="G165" s="92">
        <f>370000+48000</f>
        <v>418000</v>
      </c>
      <c r="H165" s="92"/>
      <c r="I165" s="92">
        <f t="shared" si="73"/>
        <v>4602123</v>
      </c>
      <c r="J165" s="4">
        <v>0</v>
      </c>
      <c r="K165" s="4">
        <f t="shared" si="74"/>
        <v>0</v>
      </c>
      <c r="L165" s="4"/>
      <c r="M165" s="4"/>
      <c r="N165" s="4"/>
      <c r="O165" s="4">
        <f t="shared" si="75"/>
        <v>0</v>
      </c>
      <c r="P165" s="4">
        <f t="shared" si="42"/>
        <v>4184123</v>
      </c>
      <c r="Q165" s="4">
        <f t="shared" si="43"/>
        <v>418000</v>
      </c>
      <c r="R165" s="4">
        <f t="shared" si="44"/>
        <v>4602123</v>
      </c>
    </row>
    <row r="166" spans="1:18" s="14" customFormat="1" ht="24" x14ac:dyDescent="0.2">
      <c r="A166" s="1"/>
      <c r="B166" s="2"/>
      <c r="C166" s="2"/>
      <c r="D166" s="21" t="s">
        <v>259</v>
      </c>
      <c r="E166" s="92">
        <v>443100</v>
      </c>
      <c r="F166" s="92">
        <f t="shared" si="72"/>
        <v>79200</v>
      </c>
      <c r="G166" s="92">
        <v>79200</v>
      </c>
      <c r="H166" s="92"/>
      <c r="I166" s="92">
        <f t="shared" si="73"/>
        <v>522300</v>
      </c>
      <c r="J166" s="4">
        <v>0</v>
      </c>
      <c r="K166" s="4">
        <f t="shared" si="74"/>
        <v>0</v>
      </c>
      <c r="L166" s="4"/>
      <c r="M166" s="4"/>
      <c r="N166" s="4"/>
      <c r="O166" s="4">
        <f t="shared" si="75"/>
        <v>0</v>
      </c>
      <c r="P166" s="4">
        <f t="shared" si="42"/>
        <v>443100</v>
      </c>
      <c r="Q166" s="4">
        <f t="shared" si="43"/>
        <v>79200</v>
      </c>
      <c r="R166" s="4">
        <f t="shared" si="44"/>
        <v>522300</v>
      </c>
    </row>
    <row r="167" spans="1:18" s="14" customFormat="1" ht="60" x14ac:dyDescent="0.2">
      <c r="A167" s="83" t="s">
        <v>559</v>
      </c>
      <c r="B167" s="83" t="s">
        <v>560</v>
      </c>
      <c r="C167" s="83" t="s">
        <v>39</v>
      </c>
      <c r="D167" s="84" t="s">
        <v>561</v>
      </c>
      <c r="E167" s="92"/>
      <c r="F167" s="92"/>
      <c r="G167" s="92"/>
      <c r="H167" s="92"/>
      <c r="I167" s="92"/>
      <c r="J167" s="4"/>
      <c r="K167" s="4">
        <f t="shared" si="74"/>
        <v>2884117</v>
      </c>
      <c r="L167" s="4">
        <f>2884117</f>
        <v>2884117</v>
      </c>
      <c r="M167" s="4"/>
      <c r="N167" s="4">
        <f>2884117</f>
        <v>2884117</v>
      </c>
      <c r="O167" s="4">
        <f t="shared" si="75"/>
        <v>2884117</v>
      </c>
      <c r="P167" s="4">
        <f t="shared" ref="P167" si="80">E167+J167</f>
        <v>0</v>
      </c>
      <c r="Q167" s="4">
        <f t="shared" ref="Q167" si="81">F167+K167</f>
        <v>2884117</v>
      </c>
      <c r="R167" s="4">
        <f t="shared" ref="R167" si="82">I167+O167</f>
        <v>2884117</v>
      </c>
    </row>
    <row r="168" spans="1:18" s="14" customFormat="1" ht="98.25" customHeight="1" x14ac:dyDescent="0.2">
      <c r="A168" s="1" t="s">
        <v>330</v>
      </c>
      <c r="B168" s="2" t="s">
        <v>326</v>
      </c>
      <c r="C168" s="2" t="s">
        <v>41</v>
      </c>
      <c r="D168" s="3" t="s">
        <v>327</v>
      </c>
      <c r="E168" s="92">
        <v>0</v>
      </c>
      <c r="F168" s="92">
        <f t="shared" si="72"/>
        <v>0</v>
      </c>
      <c r="G168" s="92"/>
      <c r="H168" s="92"/>
      <c r="I168" s="92">
        <f t="shared" si="73"/>
        <v>0</v>
      </c>
      <c r="J168" s="4">
        <v>600000</v>
      </c>
      <c r="K168" s="4">
        <f t="shared" si="74"/>
        <v>0</v>
      </c>
      <c r="L168" s="4"/>
      <c r="M168" s="4"/>
      <c r="N168" s="4"/>
      <c r="O168" s="4">
        <f t="shared" si="75"/>
        <v>600000</v>
      </c>
      <c r="P168" s="4">
        <f t="shared" si="42"/>
        <v>600000</v>
      </c>
      <c r="Q168" s="4">
        <f t="shared" si="43"/>
        <v>0</v>
      </c>
      <c r="R168" s="4">
        <f t="shared" si="44"/>
        <v>600000</v>
      </c>
    </row>
    <row r="169" spans="1:18" s="13" customFormat="1" ht="24" x14ac:dyDescent="0.2">
      <c r="A169" s="16" t="s">
        <v>143</v>
      </c>
      <c r="B169" s="10"/>
      <c r="C169" s="10"/>
      <c r="D169" s="11" t="s">
        <v>418</v>
      </c>
      <c r="E169" s="34">
        <f>E171+E172+E173</f>
        <v>3469960</v>
      </c>
      <c r="F169" s="34">
        <f t="shared" ref="F169:R169" si="83">F171+F172+F173</f>
        <v>-30000</v>
      </c>
      <c r="G169" s="34">
        <f>G171+G172+G173</f>
        <v>-30000</v>
      </c>
      <c r="H169" s="34">
        <f t="shared" si="83"/>
        <v>0</v>
      </c>
      <c r="I169" s="34">
        <f t="shared" si="83"/>
        <v>3439960</v>
      </c>
      <c r="J169" s="12">
        <f t="shared" si="83"/>
        <v>500000</v>
      </c>
      <c r="K169" s="12">
        <f t="shared" si="83"/>
        <v>0</v>
      </c>
      <c r="L169" s="12">
        <f t="shared" si="83"/>
        <v>0</v>
      </c>
      <c r="M169" s="12">
        <f t="shared" si="83"/>
        <v>0</v>
      </c>
      <c r="N169" s="12">
        <v>0</v>
      </c>
      <c r="O169" s="12">
        <f t="shared" si="83"/>
        <v>500000</v>
      </c>
      <c r="P169" s="12">
        <f t="shared" si="83"/>
        <v>3969960</v>
      </c>
      <c r="Q169" s="12">
        <f t="shared" si="83"/>
        <v>-30000</v>
      </c>
      <c r="R169" s="12">
        <f t="shared" si="83"/>
        <v>3939960</v>
      </c>
    </row>
    <row r="170" spans="1:18" s="13" customFormat="1" ht="24" x14ac:dyDescent="0.2">
      <c r="A170" s="16" t="s">
        <v>177</v>
      </c>
      <c r="B170" s="10"/>
      <c r="C170" s="10"/>
      <c r="D170" s="11" t="s">
        <v>418</v>
      </c>
      <c r="E170" s="34"/>
      <c r="F170" s="34"/>
      <c r="G170" s="34"/>
      <c r="H170" s="34"/>
      <c r="I170" s="34"/>
      <c r="J170" s="4"/>
      <c r="K170" s="4"/>
      <c r="L170" s="12"/>
      <c r="M170" s="12"/>
      <c r="N170" s="12"/>
      <c r="O170" s="12"/>
      <c r="P170" s="4">
        <f t="shared" si="42"/>
        <v>0</v>
      </c>
      <c r="Q170" s="12">
        <f t="shared" si="43"/>
        <v>0</v>
      </c>
      <c r="R170" s="12">
        <f t="shared" si="44"/>
        <v>0</v>
      </c>
    </row>
    <row r="171" spans="1:18" s="14" customFormat="1" ht="12" x14ac:dyDescent="0.2">
      <c r="A171" s="1" t="s">
        <v>178</v>
      </c>
      <c r="B171" s="2" t="s">
        <v>81</v>
      </c>
      <c r="C171" s="2" t="s">
        <v>34</v>
      </c>
      <c r="D171" s="3" t="s">
        <v>13</v>
      </c>
      <c r="E171" s="4">
        <v>3469960</v>
      </c>
      <c r="F171" s="4">
        <f>G171</f>
        <v>-30000</v>
      </c>
      <c r="G171" s="4">
        <v>-30000</v>
      </c>
      <c r="H171" s="4"/>
      <c r="I171" s="4">
        <f t="shared" ref="I171:I173" si="84">E171+F171</f>
        <v>3439960</v>
      </c>
      <c r="J171" s="4">
        <v>70000</v>
      </c>
      <c r="K171" s="4">
        <f t="shared" ref="K171:K173" si="85">M171+N171</f>
        <v>0</v>
      </c>
      <c r="L171" s="4"/>
      <c r="M171" s="4"/>
      <c r="N171" s="4"/>
      <c r="O171" s="4">
        <f t="shared" ref="O171:O173" si="86">J171+K171</f>
        <v>70000</v>
      </c>
      <c r="P171" s="4">
        <f t="shared" si="42"/>
        <v>3539960</v>
      </c>
      <c r="Q171" s="4">
        <f t="shared" si="43"/>
        <v>-30000</v>
      </c>
      <c r="R171" s="4">
        <f t="shared" si="44"/>
        <v>3509960</v>
      </c>
    </row>
    <row r="172" spans="1:18" s="14" customFormat="1" ht="48" x14ac:dyDescent="0.2">
      <c r="A172" s="24" t="s">
        <v>498</v>
      </c>
      <c r="B172" s="2" t="s">
        <v>109</v>
      </c>
      <c r="C172" s="2" t="s">
        <v>53</v>
      </c>
      <c r="D172" s="25" t="s">
        <v>110</v>
      </c>
      <c r="E172" s="4">
        <v>0</v>
      </c>
      <c r="F172" s="4">
        <f>G172</f>
        <v>0</v>
      </c>
      <c r="G172" s="4"/>
      <c r="H172" s="4"/>
      <c r="I172" s="4">
        <f>E172+F172</f>
        <v>0</v>
      </c>
      <c r="J172" s="4">
        <v>0</v>
      </c>
      <c r="K172" s="4">
        <f>M172+N172</f>
        <v>0</v>
      </c>
      <c r="L172" s="4"/>
      <c r="M172" s="4"/>
      <c r="N172" s="4"/>
      <c r="O172" s="4">
        <f>J172+K172</f>
        <v>0</v>
      </c>
      <c r="P172" s="4">
        <f t="shared" si="42"/>
        <v>0</v>
      </c>
      <c r="Q172" s="4">
        <f t="shared" si="42"/>
        <v>0</v>
      </c>
      <c r="R172" s="4">
        <f>I172+O172</f>
        <v>0</v>
      </c>
    </row>
    <row r="173" spans="1:18" s="14" customFormat="1" ht="97.5" customHeight="1" x14ac:dyDescent="0.2">
      <c r="A173" s="1" t="s">
        <v>331</v>
      </c>
      <c r="B173" s="2" t="s">
        <v>326</v>
      </c>
      <c r="C173" s="2" t="s">
        <v>41</v>
      </c>
      <c r="D173" s="3" t="s">
        <v>327</v>
      </c>
      <c r="E173" s="4">
        <v>0</v>
      </c>
      <c r="F173" s="4">
        <f>G173</f>
        <v>0</v>
      </c>
      <c r="G173" s="4"/>
      <c r="H173" s="4"/>
      <c r="I173" s="4">
        <f t="shared" si="84"/>
        <v>0</v>
      </c>
      <c r="J173" s="4">
        <v>430000</v>
      </c>
      <c r="K173" s="4">
        <f t="shared" si="85"/>
        <v>0</v>
      </c>
      <c r="L173" s="4"/>
      <c r="M173" s="4"/>
      <c r="N173" s="4"/>
      <c r="O173" s="4">
        <f t="shared" si="86"/>
        <v>430000</v>
      </c>
      <c r="P173" s="4">
        <f t="shared" si="42"/>
        <v>430000</v>
      </c>
      <c r="Q173" s="4">
        <f t="shared" si="43"/>
        <v>0</v>
      </c>
      <c r="R173" s="4">
        <f t="shared" si="44"/>
        <v>430000</v>
      </c>
    </row>
    <row r="174" spans="1:18" s="13" customFormat="1" ht="24" x14ac:dyDescent="0.2">
      <c r="A174" s="16" t="s">
        <v>144</v>
      </c>
      <c r="B174" s="10"/>
      <c r="C174" s="10"/>
      <c r="D174" s="17" t="s">
        <v>415</v>
      </c>
      <c r="E174" s="12">
        <f>E176+E177+E181+E183+E190+E191+E192+E195+E196+E182+E180</f>
        <v>103033276</v>
      </c>
      <c r="F174" s="12">
        <f>F176+F177+F181+F183+F190+F191+F192+F195+F196+F182+F180</f>
        <v>5493508</v>
      </c>
      <c r="G174" s="12">
        <f>G176+G177+G181+G183+G190+G191+G192+G195+G196+G182+G180</f>
        <v>5493508</v>
      </c>
      <c r="H174" s="12">
        <f>H176+H177+H181+H183+H190+H191+H192+H195+H196+H182+H180</f>
        <v>0</v>
      </c>
      <c r="I174" s="12">
        <f>I176+I177+I181+I183+I190+I191+I192+I195+I196+I182+I180</f>
        <v>108526784</v>
      </c>
      <c r="J174" s="12">
        <f t="shared" ref="J174:O174" si="87">J176+J177+J181+J183+J190+J191+J192+J195+J196+J182</f>
        <v>4802300</v>
      </c>
      <c r="K174" s="12">
        <f t="shared" si="87"/>
        <v>24000</v>
      </c>
      <c r="L174" s="12">
        <f t="shared" si="87"/>
        <v>24000</v>
      </c>
      <c r="M174" s="12">
        <f t="shared" si="87"/>
        <v>0</v>
      </c>
      <c r="N174" s="12">
        <f t="shared" si="87"/>
        <v>24000</v>
      </c>
      <c r="O174" s="12">
        <f t="shared" si="87"/>
        <v>4826300</v>
      </c>
      <c r="P174" s="12">
        <f>E174+J174</f>
        <v>107835576</v>
      </c>
      <c r="Q174" s="12">
        <f t="shared" si="43"/>
        <v>5517508</v>
      </c>
      <c r="R174" s="12">
        <f>I174+O174</f>
        <v>113353084</v>
      </c>
    </row>
    <row r="175" spans="1:18" s="13" customFormat="1" ht="24" x14ac:dyDescent="0.2">
      <c r="A175" s="16" t="s">
        <v>179</v>
      </c>
      <c r="B175" s="10"/>
      <c r="C175" s="10"/>
      <c r="D175" s="17" t="s">
        <v>415</v>
      </c>
      <c r="E175" s="12"/>
      <c r="F175" s="12"/>
      <c r="G175" s="12"/>
      <c r="H175" s="12"/>
      <c r="I175" s="12"/>
      <c r="J175" s="4"/>
      <c r="K175" s="4"/>
      <c r="L175" s="12"/>
      <c r="M175" s="12"/>
      <c r="N175" s="12"/>
      <c r="O175" s="12"/>
      <c r="P175" s="12">
        <f t="shared" si="42"/>
        <v>0</v>
      </c>
      <c r="Q175" s="12">
        <f t="shared" si="43"/>
        <v>0</v>
      </c>
      <c r="R175" s="12">
        <f t="shared" si="44"/>
        <v>0</v>
      </c>
    </row>
    <row r="176" spans="1:18" s="14" customFormat="1" ht="12" x14ac:dyDescent="0.2">
      <c r="A176" s="1" t="s">
        <v>180</v>
      </c>
      <c r="B176" s="2" t="s">
        <v>81</v>
      </c>
      <c r="C176" s="2" t="s">
        <v>34</v>
      </c>
      <c r="D176" s="3" t="s">
        <v>14</v>
      </c>
      <c r="E176" s="4">
        <v>2993700</v>
      </c>
      <c r="F176" s="4">
        <f t="shared" ref="F176:F196" si="88">G176</f>
        <v>77200</v>
      </c>
      <c r="G176" s="4">
        <f>25000+52200</f>
        <v>77200</v>
      </c>
      <c r="H176" s="4"/>
      <c r="I176" s="4">
        <f t="shared" ref="I176:I195" si="89">E176+F176</f>
        <v>3070900</v>
      </c>
      <c r="J176" s="4">
        <v>185500</v>
      </c>
      <c r="K176" s="4">
        <f t="shared" ref="K176:K195" si="90">M176+N176</f>
        <v>0</v>
      </c>
      <c r="L176" s="4"/>
      <c r="M176" s="4"/>
      <c r="N176" s="4"/>
      <c r="O176" s="4">
        <f t="shared" ref="O176:O196" si="91">J176+K176</f>
        <v>185500</v>
      </c>
      <c r="P176" s="4">
        <f t="shared" si="42"/>
        <v>3179200</v>
      </c>
      <c r="Q176" s="4">
        <f t="shared" si="43"/>
        <v>77200</v>
      </c>
      <c r="R176" s="4">
        <f t="shared" si="44"/>
        <v>3256400</v>
      </c>
    </row>
    <row r="177" spans="1:18" s="14" customFormat="1" ht="19.5" customHeight="1" x14ac:dyDescent="0.2">
      <c r="A177" s="1" t="s">
        <v>184</v>
      </c>
      <c r="B177" s="2" t="s">
        <v>96</v>
      </c>
      <c r="C177" s="2" t="s">
        <v>50</v>
      </c>
      <c r="D177" s="3" t="s">
        <v>475</v>
      </c>
      <c r="E177" s="4">
        <v>53024000</v>
      </c>
      <c r="F177" s="4">
        <f t="shared" si="88"/>
        <v>3948908</v>
      </c>
      <c r="G177" s="4">
        <f>3597300+15000+5000+49900+167308+129400-15000</f>
        <v>3948908</v>
      </c>
      <c r="H177" s="4"/>
      <c r="I177" s="4">
        <f t="shared" si="89"/>
        <v>56972908</v>
      </c>
      <c r="J177" s="4">
        <v>2982290</v>
      </c>
      <c r="K177" s="4">
        <f t="shared" si="90"/>
        <v>0</v>
      </c>
      <c r="L177" s="4"/>
      <c r="M177" s="4"/>
      <c r="N177" s="4"/>
      <c r="O177" s="4">
        <f t="shared" si="91"/>
        <v>2982290</v>
      </c>
      <c r="P177" s="4">
        <f t="shared" si="42"/>
        <v>56006290</v>
      </c>
      <c r="Q177" s="4">
        <f t="shared" si="43"/>
        <v>3948908</v>
      </c>
      <c r="R177" s="4">
        <f t="shared" si="44"/>
        <v>59955198</v>
      </c>
    </row>
    <row r="178" spans="1:18" s="14" customFormat="1" ht="17.45" customHeight="1" x14ac:dyDescent="0.2">
      <c r="A178" s="1"/>
      <c r="B178" s="2"/>
      <c r="C178" s="2"/>
      <c r="D178" s="64" t="s">
        <v>558</v>
      </c>
      <c r="E178" s="4"/>
      <c r="F178" s="4">
        <f t="shared" si="88"/>
        <v>15000</v>
      </c>
      <c r="G178" s="4">
        <v>15000</v>
      </c>
      <c r="H178" s="4"/>
      <c r="I178" s="4">
        <f t="shared" si="89"/>
        <v>15000</v>
      </c>
      <c r="J178" s="4"/>
      <c r="K178" s="4">
        <f t="shared" si="90"/>
        <v>0</v>
      </c>
      <c r="L178" s="4"/>
      <c r="M178" s="4"/>
      <c r="N178" s="4"/>
      <c r="O178" s="4">
        <f t="shared" si="91"/>
        <v>0</v>
      </c>
      <c r="P178" s="4">
        <f t="shared" si="42"/>
        <v>0</v>
      </c>
      <c r="Q178" s="4">
        <f t="shared" si="43"/>
        <v>15000</v>
      </c>
      <c r="R178" s="4">
        <f t="shared" si="44"/>
        <v>15000</v>
      </c>
    </row>
    <row r="179" spans="1:18" s="14" customFormat="1" ht="17.45" customHeight="1" x14ac:dyDescent="0.2">
      <c r="A179" s="1"/>
      <c r="B179" s="2"/>
      <c r="C179" s="2"/>
      <c r="D179" s="64" t="s">
        <v>562</v>
      </c>
      <c r="E179" s="4"/>
      <c r="F179" s="4">
        <f t="shared" si="88"/>
        <v>167308</v>
      </c>
      <c r="G179" s="4">
        <v>167308</v>
      </c>
      <c r="H179" s="4"/>
      <c r="I179" s="4">
        <f t="shared" si="89"/>
        <v>167308</v>
      </c>
      <c r="J179" s="4"/>
      <c r="K179" s="4">
        <f t="shared" si="90"/>
        <v>0</v>
      </c>
      <c r="L179" s="4"/>
      <c r="M179" s="4"/>
      <c r="N179" s="4"/>
      <c r="O179" s="4">
        <f t="shared" si="91"/>
        <v>0</v>
      </c>
      <c r="P179" s="4">
        <f t="shared" si="42"/>
        <v>0</v>
      </c>
      <c r="Q179" s="4">
        <f t="shared" si="43"/>
        <v>167308</v>
      </c>
      <c r="R179" s="4">
        <f t="shared" si="44"/>
        <v>167308</v>
      </c>
    </row>
    <row r="180" spans="1:18" s="14" customFormat="1" ht="63.6" customHeight="1" x14ac:dyDescent="0.2">
      <c r="A180" s="1" t="s">
        <v>499</v>
      </c>
      <c r="B180" s="2" t="s">
        <v>109</v>
      </c>
      <c r="C180" s="2" t="s">
        <v>53</v>
      </c>
      <c r="D180" s="71" t="s">
        <v>110</v>
      </c>
      <c r="E180" s="4"/>
      <c r="F180" s="4">
        <f t="shared" si="88"/>
        <v>0</v>
      </c>
      <c r="G180" s="4"/>
      <c r="H180" s="4"/>
      <c r="I180" s="4">
        <f t="shared" si="89"/>
        <v>0</v>
      </c>
      <c r="J180" s="4"/>
      <c r="K180" s="4"/>
      <c r="L180" s="4"/>
      <c r="M180" s="4"/>
      <c r="N180" s="4"/>
      <c r="O180" s="4"/>
      <c r="P180" s="4">
        <f t="shared" si="42"/>
        <v>0</v>
      </c>
      <c r="Q180" s="4">
        <f t="shared" si="43"/>
        <v>0</v>
      </c>
      <c r="R180" s="4">
        <f t="shared" si="44"/>
        <v>0</v>
      </c>
    </row>
    <row r="181" spans="1:18" s="14" customFormat="1" ht="13.9" customHeight="1" x14ac:dyDescent="0.2">
      <c r="A181" s="1" t="s">
        <v>181</v>
      </c>
      <c r="B181" s="2" t="s">
        <v>91</v>
      </c>
      <c r="C181" s="2" t="s">
        <v>69</v>
      </c>
      <c r="D181" s="3" t="s">
        <v>92</v>
      </c>
      <c r="E181" s="4">
        <v>1575000</v>
      </c>
      <c r="F181" s="4">
        <f t="shared" si="88"/>
        <v>174700</v>
      </c>
      <c r="G181" s="4">
        <f>9700+165000</f>
        <v>174700</v>
      </c>
      <c r="H181" s="4"/>
      <c r="I181" s="4">
        <f t="shared" si="89"/>
        <v>1749700</v>
      </c>
      <c r="J181" s="4">
        <v>0</v>
      </c>
      <c r="K181" s="4">
        <f t="shared" si="90"/>
        <v>0</v>
      </c>
      <c r="L181" s="4"/>
      <c r="M181" s="4"/>
      <c r="N181" s="4"/>
      <c r="O181" s="4">
        <f t="shared" si="91"/>
        <v>0</v>
      </c>
      <c r="P181" s="4">
        <f t="shared" si="42"/>
        <v>1575000</v>
      </c>
      <c r="Q181" s="4">
        <f t="shared" si="43"/>
        <v>174700</v>
      </c>
      <c r="R181" s="4">
        <f t="shared" si="44"/>
        <v>1749700</v>
      </c>
    </row>
    <row r="182" spans="1:18" s="14" customFormat="1" ht="36" x14ac:dyDescent="0.2">
      <c r="A182" s="1" t="s">
        <v>383</v>
      </c>
      <c r="B182" s="2" t="s">
        <v>384</v>
      </c>
      <c r="C182" s="2" t="s">
        <v>385</v>
      </c>
      <c r="D182" s="3" t="s">
        <v>386</v>
      </c>
      <c r="E182" s="4">
        <v>5830500</v>
      </c>
      <c r="F182" s="4">
        <f t="shared" si="88"/>
        <v>0</v>
      </c>
      <c r="G182" s="4"/>
      <c r="H182" s="4"/>
      <c r="I182" s="4">
        <f t="shared" si="89"/>
        <v>5830500</v>
      </c>
      <c r="J182" s="4">
        <v>0</v>
      </c>
      <c r="K182" s="4">
        <f t="shared" si="90"/>
        <v>0</v>
      </c>
      <c r="L182" s="4"/>
      <c r="M182" s="4"/>
      <c r="N182" s="4"/>
      <c r="O182" s="4">
        <f t="shared" si="91"/>
        <v>0</v>
      </c>
      <c r="P182" s="4">
        <f t="shared" ref="P182:P258" si="92">E182+J182</f>
        <v>5830500</v>
      </c>
      <c r="Q182" s="4">
        <f t="shared" ref="Q182:Q258" si="93">F182+K182</f>
        <v>0</v>
      </c>
      <c r="R182" s="4">
        <f t="shared" ref="R182:R258" si="94">I182+O182</f>
        <v>5830500</v>
      </c>
    </row>
    <row r="183" spans="1:18" s="14" customFormat="1" ht="12" x14ac:dyDescent="0.2">
      <c r="A183" s="1" t="s">
        <v>182</v>
      </c>
      <c r="B183" s="2" t="s">
        <v>93</v>
      </c>
      <c r="C183" s="2" t="s">
        <v>60</v>
      </c>
      <c r="D183" s="3" t="s">
        <v>94</v>
      </c>
      <c r="E183" s="4">
        <v>11700693</v>
      </c>
      <c r="F183" s="4">
        <f t="shared" si="88"/>
        <v>696000</v>
      </c>
      <c r="G183" s="4">
        <f>720000-58200+34200</f>
        <v>696000</v>
      </c>
      <c r="H183" s="4"/>
      <c r="I183" s="4">
        <f t="shared" si="89"/>
        <v>12396693</v>
      </c>
      <c r="J183" s="4">
        <v>221900</v>
      </c>
      <c r="K183" s="4">
        <f t="shared" si="90"/>
        <v>24000</v>
      </c>
      <c r="L183" s="4">
        <f>24000</f>
        <v>24000</v>
      </c>
      <c r="M183" s="4"/>
      <c r="N183" s="4">
        <f>24000</f>
        <v>24000</v>
      </c>
      <c r="O183" s="4">
        <f t="shared" si="91"/>
        <v>245900</v>
      </c>
      <c r="P183" s="4">
        <f t="shared" si="92"/>
        <v>11922593</v>
      </c>
      <c r="Q183" s="4">
        <f>F183+K183</f>
        <v>720000</v>
      </c>
      <c r="R183" s="4">
        <f t="shared" si="94"/>
        <v>12642593</v>
      </c>
    </row>
    <row r="184" spans="1:18" s="14" customFormat="1" ht="12" x14ac:dyDescent="0.2">
      <c r="A184" s="1"/>
      <c r="B184" s="2"/>
      <c r="C184" s="2"/>
      <c r="D184" s="65" t="s">
        <v>468</v>
      </c>
      <c r="E184" s="4">
        <v>0</v>
      </c>
      <c r="F184" s="4">
        <f t="shared" si="88"/>
        <v>0</v>
      </c>
      <c r="G184" s="4"/>
      <c r="H184" s="4"/>
      <c r="I184" s="4">
        <f t="shared" si="89"/>
        <v>0</v>
      </c>
      <c r="J184" s="4">
        <v>0</v>
      </c>
      <c r="K184" s="4">
        <f t="shared" si="90"/>
        <v>0</v>
      </c>
      <c r="L184" s="4"/>
      <c r="M184" s="4"/>
      <c r="N184" s="4"/>
      <c r="O184" s="4">
        <f t="shared" si="91"/>
        <v>0</v>
      </c>
      <c r="P184" s="4">
        <f t="shared" si="92"/>
        <v>0</v>
      </c>
      <c r="Q184" s="4">
        <f t="shared" si="93"/>
        <v>0</v>
      </c>
      <c r="R184" s="4">
        <f t="shared" si="94"/>
        <v>0</v>
      </c>
    </row>
    <row r="185" spans="1:18" s="14" customFormat="1" ht="12" x14ac:dyDescent="0.2">
      <c r="A185" s="1"/>
      <c r="B185" s="2"/>
      <c r="C185" s="2"/>
      <c r="D185" s="66" t="s">
        <v>509</v>
      </c>
      <c r="E185" s="4">
        <v>50000</v>
      </c>
      <c r="F185" s="4">
        <f t="shared" si="88"/>
        <v>0</v>
      </c>
      <c r="G185" s="4"/>
      <c r="H185" s="4"/>
      <c r="I185" s="4">
        <f t="shared" si="89"/>
        <v>50000</v>
      </c>
      <c r="J185" s="4">
        <v>10000</v>
      </c>
      <c r="K185" s="4">
        <f t="shared" si="90"/>
        <v>0</v>
      </c>
      <c r="L185" s="4"/>
      <c r="M185" s="4"/>
      <c r="N185" s="4"/>
      <c r="O185" s="4">
        <f t="shared" si="91"/>
        <v>10000</v>
      </c>
      <c r="P185" s="4">
        <f t="shared" si="92"/>
        <v>60000</v>
      </c>
      <c r="Q185" s="4">
        <f t="shared" si="93"/>
        <v>0</v>
      </c>
      <c r="R185" s="4">
        <f t="shared" si="94"/>
        <v>60000</v>
      </c>
    </row>
    <row r="186" spans="1:18" s="14" customFormat="1" ht="12" x14ac:dyDescent="0.2">
      <c r="A186" s="1"/>
      <c r="B186" s="2"/>
      <c r="C186" s="2"/>
      <c r="D186" s="66" t="s">
        <v>532</v>
      </c>
      <c r="E186" s="4"/>
      <c r="F186" s="4"/>
      <c r="G186" s="4"/>
      <c r="H186" s="4"/>
      <c r="I186" s="4"/>
      <c r="J186" s="4">
        <v>25000</v>
      </c>
      <c r="K186" s="4">
        <f t="shared" si="90"/>
        <v>0</v>
      </c>
      <c r="L186" s="4"/>
      <c r="M186" s="4"/>
      <c r="N186" s="4"/>
      <c r="O186" s="4">
        <f t="shared" si="91"/>
        <v>25000</v>
      </c>
      <c r="P186" s="4">
        <f t="shared" ref="P186" si="95">E186+J186</f>
        <v>25000</v>
      </c>
      <c r="Q186" s="4">
        <f t="shared" ref="Q186:Q189" si="96">F186+K186</f>
        <v>0</v>
      </c>
      <c r="R186" s="4">
        <f t="shared" ref="R186:R189" si="97">I186+O186</f>
        <v>25000</v>
      </c>
    </row>
    <row r="187" spans="1:18" s="14" customFormat="1" ht="15.75" customHeight="1" x14ac:dyDescent="0.2">
      <c r="A187" s="1"/>
      <c r="B187" s="2"/>
      <c r="C187" s="2"/>
      <c r="D187" s="66" t="s">
        <v>476</v>
      </c>
      <c r="E187" s="4"/>
      <c r="F187" s="4">
        <f t="shared" ref="F187:F189" si="98">G187</f>
        <v>0</v>
      </c>
      <c r="G187" s="4"/>
      <c r="H187" s="4"/>
      <c r="I187" s="4">
        <f t="shared" ref="I187:I189" si="99">E187+F187</f>
        <v>0</v>
      </c>
      <c r="J187" s="4">
        <v>30000</v>
      </c>
      <c r="K187" s="4">
        <f t="shared" si="90"/>
        <v>0</v>
      </c>
      <c r="L187" s="4"/>
      <c r="M187" s="4"/>
      <c r="N187" s="4"/>
      <c r="O187" s="4">
        <f t="shared" si="91"/>
        <v>30000</v>
      </c>
      <c r="P187" s="4">
        <f>E187+J187</f>
        <v>30000</v>
      </c>
      <c r="Q187" s="4">
        <f t="shared" si="96"/>
        <v>0</v>
      </c>
      <c r="R187" s="4">
        <f t="shared" si="97"/>
        <v>30000</v>
      </c>
    </row>
    <row r="188" spans="1:18" s="14" customFormat="1" ht="15" customHeight="1" x14ac:dyDescent="0.2">
      <c r="A188" s="1"/>
      <c r="B188" s="2"/>
      <c r="C188" s="2"/>
      <c r="D188" s="66" t="s">
        <v>477</v>
      </c>
      <c r="E188" s="4"/>
      <c r="F188" s="4">
        <f t="shared" si="98"/>
        <v>0</v>
      </c>
      <c r="G188" s="4"/>
      <c r="H188" s="4"/>
      <c r="I188" s="4">
        <f t="shared" si="99"/>
        <v>0</v>
      </c>
      <c r="J188" s="4">
        <v>20000</v>
      </c>
      <c r="K188" s="4">
        <f t="shared" si="90"/>
        <v>0</v>
      </c>
      <c r="L188" s="4"/>
      <c r="M188" s="4"/>
      <c r="N188" s="4"/>
      <c r="O188" s="4">
        <f t="shared" si="91"/>
        <v>20000</v>
      </c>
      <c r="P188" s="4">
        <f t="shared" ref="P188:P189" si="100">E188+J188</f>
        <v>20000</v>
      </c>
      <c r="Q188" s="4">
        <f t="shared" si="96"/>
        <v>0</v>
      </c>
      <c r="R188" s="4">
        <f t="shared" si="97"/>
        <v>20000</v>
      </c>
    </row>
    <row r="189" spans="1:18" s="14" customFormat="1" ht="14.25" customHeight="1" x14ac:dyDescent="0.2">
      <c r="A189" s="1"/>
      <c r="B189" s="2"/>
      <c r="C189" s="2"/>
      <c r="D189" s="66" t="s">
        <v>479</v>
      </c>
      <c r="E189" s="4">
        <v>0</v>
      </c>
      <c r="F189" s="4">
        <f t="shared" si="98"/>
        <v>0</v>
      </c>
      <c r="G189" s="4"/>
      <c r="H189" s="4"/>
      <c r="I189" s="4">
        <f t="shared" si="99"/>
        <v>0</v>
      </c>
      <c r="J189" s="4">
        <v>9500</v>
      </c>
      <c r="K189" s="4">
        <f t="shared" si="90"/>
        <v>0</v>
      </c>
      <c r="L189" s="4"/>
      <c r="M189" s="4"/>
      <c r="N189" s="4"/>
      <c r="O189" s="4">
        <f t="shared" si="91"/>
        <v>9500</v>
      </c>
      <c r="P189" s="4">
        <f t="shared" si="100"/>
        <v>9500</v>
      </c>
      <c r="Q189" s="4">
        <f t="shared" si="96"/>
        <v>0</v>
      </c>
      <c r="R189" s="4">
        <f t="shared" si="97"/>
        <v>9500</v>
      </c>
    </row>
    <row r="190" spans="1:18" s="14" customFormat="1" ht="24" x14ac:dyDescent="0.2">
      <c r="A190" s="1" t="s">
        <v>183</v>
      </c>
      <c r="B190" s="2" t="s">
        <v>59</v>
      </c>
      <c r="C190" s="2" t="s">
        <v>61</v>
      </c>
      <c r="D190" s="3" t="s">
        <v>95</v>
      </c>
      <c r="E190" s="4">
        <v>11770132</v>
      </c>
      <c r="F190" s="4">
        <f t="shared" si="88"/>
        <v>426100</v>
      </c>
      <c r="G190" s="4">
        <f>375000+1000-1400+36500+15000</f>
        <v>426100</v>
      </c>
      <c r="H190" s="4"/>
      <c r="I190" s="4">
        <f t="shared" si="89"/>
        <v>12196232</v>
      </c>
      <c r="J190" s="4">
        <v>245610</v>
      </c>
      <c r="K190" s="4">
        <f t="shared" si="90"/>
        <v>0</v>
      </c>
      <c r="L190" s="4"/>
      <c r="M190" s="4"/>
      <c r="N190" s="4"/>
      <c r="O190" s="4">
        <f t="shared" si="91"/>
        <v>245610</v>
      </c>
      <c r="P190" s="4">
        <f t="shared" si="92"/>
        <v>12015742</v>
      </c>
      <c r="Q190" s="4">
        <f t="shared" si="93"/>
        <v>426100</v>
      </c>
      <c r="R190" s="4">
        <f t="shared" si="94"/>
        <v>12441842</v>
      </c>
    </row>
    <row r="191" spans="1:18" s="14" customFormat="1" ht="24" x14ac:dyDescent="0.2">
      <c r="A191" s="1" t="s">
        <v>320</v>
      </c>
      <c r="B191" s="2" t="s">
        <v>319</v>
      </c>
      <c r="C191" s="2" t="s">
        <v>62</v>
      </c>
      <c r="D191" s="3" t="s">
        <v>321</v>
      </c>
      <c r="E191" s="4">
        <v>2774000</v>
      </c>
      <c r="F191" s="4">
        <f t="shared" si="88"/>
        <v>-252300</v>
      </c>
      <c r="G191" s="4">
        <f>-252300</f>
        <v>-252300</v>
      </c>
      <c r="H191" s="4"/>
      <c r="I191" s="4">
        <f t="shared" si="89"/>
        <v>2521700</v>
      </c>
      <c r="J191" s="4">
        <v>95000</v>
      </c>
      <c r="K191" s="4">
        <f t="shared" si="90"/>
        <v>0</v>
      </c>
      <c r="L191" s="4"/>
      <c r="M191" s="4"/>
      <c r="N191" s="4"/>
      <c r="O191" s="4">
        <f t="shared" si="91"/>
        <v>95000</v>
      </c>
      <c r="P191" s="4">
        <f t="shared" si="92"/>
        <v>2869000</v>
      </c>
      <c r="Q191" s="4">
        <f t="shared" si="93"/>
        <v>-252300</v>
      </c>
      <c r="R191" s="4">
        <f t="shared" si="94"/>
        <v>2616700</v>
      </c>
    </row>
    <row r="192" spans="1:18" s="14" customFormat="1" ht="15" customHeight="1" x14ac:dyDescent="0.2">
      <c r="A192" s="1" t="s">
        <v>322</v>
      </c>
      <c r="B192" s="2" t="s">
        <v>323</v>
      </c>
      <c r="C192" s="2" t="s">
        <v>62</v>
      </c>
      <c r="D192" s="3" t="s">
        <v>324</v>
      </c>
      <c r="E192" s="4">
        <v>5657700</v>
      </c>
      <c r="F192" s="4">
        <f t="shared" si="88"/>
        <v>122900</v>
      </c>
      <c r="G192" s="4">
        <f>80900+42000</f>
        <v>122900</v>
      </c>
      <c r="H192" s="4"/>
      <c r="I192" s="4">
        <f t="shared" si="89"/>
        <v>5780600</v>
      </c>
      <c r="J192" s="4">
        <v>0</v>
      </c>
      <c r="K192" s="4">
        <f t="shared" si="90"/>
        <v>0</v>
      </c>
      <c r="L192" s="4"/>
      <c r="M192" s="4"/>
      <c r="N192" s="4"/>
      <c r="O192" s="4">
        <f t="shared" si="91"/>
        <v>0</v>
      </c>
      <c r="P192" s="4">
        <f t="shared" si="92"/>
        <v>5657700</v>
      </c>
      <c r="Q192" s="4">
        <f t="shared" si="93"/>
        <v>122900</v>
      </c>
      <c r="R192" s="4">
        <f t="shared" si="94"/>
        <v>5780600</v>
      </c>
    </row>
    <row r="193" spans="1:18" s="14" customFormat="1" ht="12" hidden="1" x14ac:dyDescent="0.2">
      <c r="A193" s="1"/>
      <c r="B193" s="2"/>
      <c r="C193" s="2"/>
      <c r="D193" s="67" t="s">
        <v>234</v>
      </c>
      <c r="E193" s="4">
        <v>0</v>
      </c>
      <c r="F193" s="4">
        <f t="shared" si="88"/>
        <v>0</v>
      </c>
      <c r="G193" s="4"/>
      <c r="H193" s="4"/>
      <c r="I193" s="4">
        <f t="shared" si="89"/>
        <v>0</v>
      </c>
      <c r="J193" s="4">
        <v>0</v>
      </c>
      <c r="K193" s="4">
        <f t="shared" si="90"/>
        <v>0</v>
      </c>
      <c r="L193" s="4"/>
      <c r="M193" s="4"/>
      <c r="N193" s="4"/>
      <c r="O193" s="4">
        <f t="shared" si="91"/>
        <v>0</v>
      </c>
      <c r="P193" s="4">
        <f t="shared" si="92"/>
        <v>0</v>
      </c>
      <c r="Q193" s="4">
        <f t="shared" si="93"/>
        <v>0</v>
      </c>
      <c r="R193" s="4">
        <f t="shared" si="94"/>
        <v>0</v>
      </c>
    </row>
    <row r="194" spans="1:18" s="14" customFormat="1" ht="24" hidden="1" x14ac:dyDescent="0.2">
      <c r="A194" s="1"/>
      <c r="B194" s="2"/>
      <c r="C194" s="2"/>
      <c r="D194" s="67" t="s">
        <v>398</v>
      </c>
      <c r="E194" s="4">
        <v>0</v>
      </c>
      <c r="F194" s="4">
        <f t="shared" si="88"/>
        <v>0</v>
      </c>
      <c r="G194" s="4"/>
      <c r="H194" s="4"/>
      <c r="I194" s="4">
        <f t="shared" si="89"/>
        <v>0</v>
      </c>
      <c r="J194" s="4">
        <v>0</v>
      </c>
      <c r="K194" s="4">
        <f t="shared" si="90"/>
        <v>0</v>
      </c>
      <c r="L194" s="4"/>
      <c r="M194" s="4"/>
      <c r="N194" s="4"/>
      <c r="O194" s="4">
        <f t="shared" si="91"/>
        <v>0</v>
      </c>
      <c r="P194" s="4">
        <f t="shared" si="92"/>
        <v>0</v>
      </c>
      <c r="Q194" s="4">
        <f t="shared" si="93"/>
        <v>0</v>
      </c>
      <c r="R194" s="4">
        <f t="shared" si="94"/>
        <v>0</v>
      </c>
    </row>
    <row r="195" spans="1:18" s="14" customFormat="1" ht="99" customHeight="1" x14ac:dyDescent="0.2">
      <c r="A195" s="1" t="s">
        <v>325</v>
      </c>
      <c r="B195" s="2" t="s">
        <v>326</v>
      </c>
      <c r="C195" s="2" t="s">
        <v>41</v>
      </c>
      <c r="D195" s="3" t="s">
        <v>327</v>
      </c>
      <c r="E195" s="4">
        <v>0</v>
      </c>
      <c r="F195" s="4">
        <f t="shared" si="88"/>
        <v>0</v>
      </c>
      <c r="G195" s="4"/>
      <c r="H195" s="4"/>
      <c r="I195" s="4">
        <f t="shared" si="89"/>
        <v>0</v>
      </c>
      <c r="J195" s="4">
        <v>686000</v>
      </c>
      <c r="K195" s="4">
        <f t="shared" si="90"/>
        <v>0</v>
      </c>
      <c r="L195" s="4"/>
      <c r="M195" s="4"/>
      <c r="N195" s="4"/>
      <c r="O195" s="4">
        <f t="shared" si="91"/>
        <v>686000</v>
      </c>
      <c r="P195" s="4">
        <f t="shared" si="92"/>
        <v>686000</v>
      </c>
      <c r="Q195" s="4">
        <f t="shared" si="93"/>
        <v>0</v>
      </c>
      <c r="R195" s="4">
        <f t="shared" si="94"/>
        <v>686000</v>
      </c>
    </row>
    <row r="196" spans="1:18" s="14" customFormat="1" ht="21" customHeight="1" x14ac:dyDescent="0.2">
      <c r="A196" s="1" t="s">
        <v>185</v>
      </c>
      <c r="B196" s="2" t="s">
        <v>97</v>
      </c>
      <c r="C196" s="2" t="s">
        <v>63</v>
      </c>
      <c r="D196" s="3" t="s">
        <v>98</v>
      </c>
      <c r="E196" s="4">
        <v>7707551</v>
      </c>
      <c r="F196" s="4">
        <f t="shared" si="88"/>
        <v>300000</v>
      </c>
      <c r="G196" s="4">
        <v>300000</v>
      </c>
      <c r="H196" s="4"/>
      <c r="I196" s="4">
        <f>E196+F196</f>
        <v>8007551</v>
      </c>
      <c r="J196" s="4">
        <v>386000</v>
      </c>
      <c r="K196" s="4">
        <f>M196+N196</f>
        <v>0</v>
      </c>
      <c r="L196" s="4"/>
      <c r="M196" s="4"/>
      <c r="N196" s="4"/>
      <c r="O196" s="4">
        <f t="shared" si="91"/>
        <v>386000</v>
      </c>
      <c r="P196" s="4">
        <f t="shared" si="92"/>
        <v>8093551</v>
      </c>
      <c r="Q196" s="4">
        <f t="shared" si="93"/>
        <v>300000</v>
      </c>
      <c r="R196" s="4">
        <f t="shared" si="94"/>
        <v>8393551</v>
      </c>
    </row>
    <row r="197" spans="1:18" s="13" customFormat="1" ht="24" x14ac:dyDescent="0.2">
      <c r="A197" s="80">
        <v>1100000</v>
      </c>
      <c r="B197" s="10"/>
      <c r="C197" s="10"/>
      <c r="D197" s="17" t="s">
        <v>417</v>
      </c>
      <c r="E197" s="12">
        <f>E199+E200+E202+E203+E204+E205+E207+E208+E206+E201</f>
        <v>33379077</v>
      </c>
      <c r="F197" s="12">
        <f>F199+F200+F202+F203+F204+F205+F207+F208+F206+F201</f>
        <v>2520500</v>
      </c>
      <c r="G197" s="12">
        <f>G199+G200+G202+G203+G204+G205+G207+G208+G206+G201</f>
        <v>2520500</v>
      </c>
      <c r="H197" s="12">
        <f t="shared" ref="H197" si="101">H199+H200+H202+H203+H204+H205+H207+H208+H206</f>
        <v>0</v>
      </c>
      <c r="I197" s="12">
        <f>I199+I200+I202+I203+I204+I205+I207+I208+I206+I201</f>
        <v>35899577</v>
      </c>
      <c r="J197" s="12">
        <f t="shared" ref="J197:O197" si="102">J199+J200+J202+J203+J204+J205+J207+J208+J206</f>
        <v>79018</v>
      </c>
      <c r="K197" s="12">
        <f t="shared" si="102"/>
        <v>0</v>
      </c>
      <c r="L197" s="12">
        <f t="shared" si="102"/>
        <v>0</v>
      </c>
      <c r="M197" s="12">
        <f t="shared" si="102"/>
        <v>0</v>
      </c>
      <c r="N197" s="12">
        <v>0</v>
      </c>
      <c r="O197" s="12">
        <f t="shared" si="102"/>
        <v>79018</v>
      </c>
      <c r="P197" s="12">
        <f t="shared" si="92"/>
        <v>33458095</v>
      </c>
      <c r="Q197" s="12">
        <f t="shared" si="93"/>
        <v>2520500</v>
      </c>
      <c r="R197" s="12">
        <f t="shared" si="94"/>
        <v>35978595</v>
      </c>
    </row>
    <row r="198" spans="1:18" s="13" customFormat="1" ht="24" x14ac:dyDescent="0.2">
      <c r="A198" s="80">
        <v>1110000</v>
      </c>
      <c r="B198" s="10"/>
      <c r="C198" s="10"/>
      <c r="D198" s="17" t="s">
        <v>417</v>
      </c>
      <c r="E198" s="12"/>
      <c r="F198" s="12"/>
      <c r="G198" s="12"/>
      <c r="H198" s="12"/>
      <c r="I198" s="12"/>
      <c r="J198" s="4"/>
      <c r="K198" s="4"/>
      <c r="L198" s="12"/>
      <c r="M198" s="12"/>
      <c r="N198" s="12"/>
      <c r="O198" s="12"/>
      <c r="P198" s="12">
        <f t="shared" si="92"/>
        <v>0</v>
      </c>
      <c r="Q198" s="12">
        <f t="shared" si="93"/>
        <v>0</v>
      </c>
      <c r="R198" s="12">
        <f t="shared" si="94"/>
        <v>0</v>
      </c>
    </row>
    <row r="199" spans="1:18" s="14" customFormat="1" ht="24" x14ac:dyDescent="0.2">
      <c r="A199" s="81">
        <v>1110160</v>
      </c>
      <c r="B199" s="2" t="s">
        <v>81</v>
      </c>
      <c r="C199" s="2" t="s">
        <v>34</v>
      </c>
      <c r="D199" s="3" t="s">
        <v>35</v>
      </c>
      <c r="E199" s="4">
        <v>2876487</v>
      </c>
      <c r="F199" s="4">
        <f t="shared" ref="F199:F210" si="103">G199</f>
        <v>-111000</v>
      </c>
      <c r="G199" s="4">
        <f>10000-121000</f>
        <v>-111000</v>
      </c>
      <c r="H199" s="4"/>
      <c r="I199" s="4">
        <f t="shared" ref="I199:I210" si="104">E199+F199</f>
        <v>2765487</v>
      </c>
      <c r="J199" s="4">
        <v>29028</v>
      </c>
      <c r="K199" s="4">
        <f t="shared" ref="K199:K208" si="105">M199+N199</f>
        <v>0</v>
      </c>
      <c r="L199" s="4"/>
      <c r="M199" s="4"/>
      <c r="N199" s="4"/>
      <c r="O199" s="4">
        <f t="shared" ref="O199:O208" si="106">J199+K199</f>
        <v>29028</v>
      </c>
      <c r="P199" s="4">
        <f t="shared" si="92"/>
        <v>2905515</v>
      </c>
      <c r="Q199" s="4">
        <f t="shared" si="93"/>
        <v>-111000</v>
      </c>
      <c r="R199" s="4">
        <f t="shared" si="94"/>
        <v>2794515</v>
      </c>
    </row>
    <row r="200" spans="1:18" s="14" customFormat="1" ht="36" x14ac:dyDescent="0.2">
      <c r="A200" s="81">
        <v>1113131</v>
      </c>
      <c r="B200" s="2" t="s">
        <v>82</v>
      </c>
      <c r="C200" s="2" t="s">
        <v>53</v>
      </c>
      <c r="D200" s="82" t="s">
        <v>83</v>
      </c>
      <c r="E200" s="4">
        <v>653000</v>
      </c>
      <c r="F200" s="4">
        <f t="shared" si="103"/>
        <v>-10000</v>
      </c>
      <c r="G200" s="4">
        <v>-10000</v>
      </c>
      <c r="H200" s="4"/>
      <c r="I200" s="4">
        <f t="shared" si="104"/>
        <v>643000</v>
      </c>
      <c r="J200" s="4">
        <v>0</v>
      </c>
      <c r="K200" s="4">
        <f t="shared" si="105"/>
        <v>0</v>
      </c>
      <c r="L200" s="4"/>
      <c r="M200" s="4"/>
      <c r="N200" s="4"/>
      <c r="O200" s="4">
        <f t="shared" si="106"/>
        <v>0</v>
      </c>
      <c r="P200" s="4">
        <f t="shared" si="92"/>
        <v>653000</v>
      </c>
      <c r="Q200" s="4">
        <f t="shared" si="93"/>
        <v>-10000</v>
      </c>
      <c r="R200" s="4">
        <f t="shared" si="94"/>
        <v>643000</v>
      </c>
    </row>
    <row r="201" spans="1:18" s="14" customFormat="1" ht="53.25" customHeight="1" x14ac:dyDescent="0.2">
      <c r="A201" s="1" t="s">
        <v>505</v>
      </c>
      <c r="B201" s="2" t="s">
        <v>109</v>
      </c>
      <c r="C201" s="2" t="s">
        <v>53</v>
      </c>
      <c r="D201" s="71" t="s">
        <v>110</v>
      </c>
      <c r="E201" s="4"/>
      <c r="F201" s="4">
        <f t="shared" si="103"/>
        <v>0</v>
      </c>
      <c r="G201" s="4"/>
      <c r="H201" s="4"/>
      <c r="I201" s="4">
        <f t="shared" si="104"/>
        <v>0</v>
      </c>
      <c r="J201" s="4"/>
      <c r="K201" s="4"/>
      <c r="L201" s="4"/>
      <c r="M201" s="4"/>
      <c r="N201" s="4"/>
      <c r="O201" s="4"/>
      <c r="P201" s="4"/>
      <c r="Q201" s="4"/>
      <c r="R201" s="4"/>
    </row>
    <row r="202" spans="1:18" s="14" customFormat="1" ht="24" x14ac:dyDescent="0.2">
      <c r="A202" s="81">
        <v>1115011</v>
      </c>
      <c r="B202" s="2" t="s">
        <v>56</v>
      </c>
      <c r="C202" s="2" t="s">
        <v>54</v>
      </c>
      <c r="D202" s="3" t="s">
        <v>55</v>
      </c>
      <c r="E202" s="4">
        <v>1424000</v>
      </c>
      <c r="F202" s="4">
        <f t="shared" si="103"/>
        <v>50000</v>
      </c>
      <c r="G202" s="4">
        <v>50000</v>
      </c>
      <c r="H202" s="4"/>
      <c r="I202" s="4">
        <f t="shared" si="104"/>
        <v>1474000</v>
      </c>
      <c r="J202" s="4">
        <v>0</v>
      </c>
      <c r="K202" s="4">
        <f t="shared" si="105"/>
        <v>0</v>
      </c>
      <c r="L202" s="4"/>
      <c r="M202" s="4"/>
      <c r="N202" s="4"/>
      <c r="O202" s="4">
        <f t="shared" si="106"/>
        <v>0</v>
      </c>
      <c r="P202" s="4">
        <f t="shared" si="92"/>
        <v>1424000</v>
      </c>
      <c r="Q202" s="4">
        <f t="shared" si="93"/>
        <v>50000</v>
      </c>
      <c r="R202" s="4">
        <f t="shared" si="94"/>
        <v>1474000</v>
      </c>
    </row>
    <row r="203" spans="1:18" s="14" customFormat="1" ht="24" x14ac:dyDescent="0.2">
      <c r="A203" s="81">
        <v>1115012</v>
      </c>
      <c r="B203" s="2" t="s">
        <v>80</v>
      </c>
      <c r="C203" s="2" t="s">
        <v>54</v>
      </c>
      <c r="D203" s="3" t="s">
        <v>79</v>
      </c>
      <c r="E203" s="4">
        <v>769598</v>
      </c>
      <c r="F203" s="4">
        <f t="shared" si="103"/>
        <v>29900</v>
      </c>
      <c r="G203" s="4">
        <v>29900</v>
      </c>
      <c r="H203" s="4"/>
      <c r="I203" s="4">
        <f t="shared" si="104"/>
        <v>799498</v>
      </c>
      <c r="J203" s="4">
        <v>0</v>
      </c>
      <c r="K203" s="4">
        <f t="shared" si="105"/>
        <v>0</v>
      </c>
      <c r="L203" s="4"/>
      <c r="M203" s="4"/>
      <c r="N203" s="4"/>
      <c r="O203" s="4">
        <f t="shared" si="106"/>
        <v>0</v>
      </c>
      <c r="P203" s="4">
        <f t="shared" si="92"/>
        <v>769598</v>
      </c>
      <c r="Q203" s="4">
        <f t="shared" si="93"/>
        <v>29900</v>
      </c>
      <c r="R203" s="4">
        <f t="shared" si="94"/>
        <v>799498</v>
      </c>
    </row>
    <row r="204" spans="1:18" s="14" customFormat="1" ht="24" x14ac:dyDescent="0.2">
      <c r="A204" s="81">
        <v>1115021</v>
      </c>
      <c r="B204" s="2" t="s">
        <v>84</v>
      </c>
      <c r="C204" s="2" t="s">
        <v>54</v>
      </c>
      <c r="D204" s="3" t="s">
        <v>317</v>
      </c>
      <c r="E204" s="4">
        <v>821600</v>
      </c>
      <c r="F204" s="4">
        <f t="shared" si="103"/>
        <v>40300</v>
      </c>
      <c r="G204" s="4">
        <f>51200-10900</f>
        <v>40300</v>
      </c>
      <c r="H204" s="4"/>
      <c r="I204" s="4">
        <f t="shared" si="104"/>
        <v>861900</v>
      </c>
      <c r="J204" s="4">
        <v>0</v>
      </c>
      <c r="K204" s="4">
        <f t="shared" si="105"/>
        <v>0</v>
      </c>
      <c r="L204" s="4"/>
      <c r="M204" s="4"/>
      <c r="N204" s="4"/>
      <c r="O204" s="4">
        <f t="shared" si="106"/>
        <v>0</v>
      </c>
      <c r="P204" s="4">
        <f t="shared" si="92"/>
        <v>821600</v>
      </c>
      <c r="Q204" s="4">
        <f t="shared" si="93"/>
        <v>40300</v>
      </c>
      <c r="R204" s="4">
        <f t="shared" si="94"/>
        <v>861900</v>
      </c>
    </row>
    <row r="205" spans="1:18" s="14" customFormat="1" ht="24" x14ac:dyDescent="0.2">
      <c r="A205" s="81">
        <v>1115022</v>
      </c>
      <c r="B205" s="2" t="s">
        <v>85</v>
      </c>
      <c r="C205" s="2" t="s">
        <v>297</v>
      </c>
      <c r="D205" s="3" t="s">
        <v>318</v>
      </c>
      <c r="E205" s="4">
        <v>170000</v>
      </c>
      <c r="F205" s="4">
        <f t="shared" si="103"/>
        <v>19000</v>
      </c>
      <c r="G205" s="4">
        <v>19000</v>
      </c>
      <c r="H205" s="4"/>
      <c r="I205" s="4">
        <f t="shared" si="104"/>
        <v>189000</v>
      </c>
      <c r="J205" s="4">
        <v>0</v>
      </c>
      <c r="K205" s="4">
        <f t="shared" si="105"/>
        <v>0</v>
      </c>
      <c r="L205" s="4"/>
      <c r="M205" s="4"/>
      <c r="N205" s="4"/>
      <c r="O205" s="4">
        <f t="shared" si="106"/>
        <v>0</v>
      </c>
      <c r="P205" s="4">
        <f t="shared" si="92"/>
        <v>170000</v>
      </c>
      <c r="Q205" s="4">
        <f t="shared" si="93"/>
        <v>19000</v>
      </c>
      <c r="R205" s="4">
        <f t="shared" si="94"/>
        <v>189000</v>
      </c>
    </row>
    <row r="206" spans="1:18" s="14" customFormat="1" ht="24" x14ac:dyDescent="0.2">
      <c r="A206" s="81">
        <v>1115041</v>
      </c>
      <c r="B206" s="2" t="s">
        <v>296</v>
      </c>
      <c r="C206" s="2" t="s">
        <v>54</v>
      </c>
      <c r="D206" s="3" t="s">
        <v>295</v>
      </c>
      <c r="E206" s="4">
        <v>3591655</v>
      </c>
      <c r="F206" s="4">
        <f t="shared" si="103"/>
        <v>250000</v>
      </c>
      <c r="G206" s="4">
        <v>250000</v>
      </c>
      <c r="H206" s="4"/>
      <c r="I206" s="4">
        <f t="shared" si="104"/>
        <v>3841655</v>
      </c>
      <c r="J206" s="4">
        <v>49990</v>
      </c>
      <c r="K206" s="4">
        <f t="shared" si="105"/>
        <v>0</v>
      </c>
      <c r="L206" s="4"/>
      <c r="M206" s="4"/>
      <c r="N206" s="4"/>
      <c r="O206" s="4">
        <f t="shared" si="106"/>
        <v>49990</v>
      </c>
      <c r="P206" s="4">
        <f t="shared" si="92"/>
        <v>3641645</v>
      </c>
      <c r="Q206" s="4">
        <f t="shared" si="93"/>
        <v>250000</v>
      </c>
      <c r="R206" s="4">
        <f t="shared" si="94"/>
        <v>3891645</v>
      </c>
    </row>
    <row r="207" spans="1:18" s="14" customFormat="1" ht="48" x14ac:dyDescent="0.2">
      <c r="A207" s="81">
        <v>1115061</v>
      </c>
      <c r="B207" s="2" t="s">
        <v>87</v>
      </c>
      <c r="C207" s="2" t="s">
        <v>54</v>
      </c>
      <c r="D207" s="3" t="s">
        <v>88</v>
      </c>
      <c r="E207" s="4">
        <v>846400</v>
      </c>
      <c r="F207" s="4">
        <f t="shared" si="103"/>
        <v>44800</v>
      </c>
      <c r="G207" s="4">
        <v>44800</v>
      </c>
      <c r="H207" s="4"/>
      <c r="I207" s="4">
        <f t="shared" si="104"/>
        <v>891200</v>
      </c>
      <c r="J207" s="4">
        <v>0</v>
      </c>
      <c r="K207" s="4">
        <f t="shared" si="105"/>
        <v>0</v>
      </c>
      <c r="L207" s="4"/>
      <c r="M207" s="4"/>
      <c r="N207" s="4"/>
      <c r="O207" s="4">
        <f t="shared" si="106"/>
        <v>0</v>
      </c>
      <c r="P207" s="4">
        <f t="shared" si="92"/>
        <v>846400</v>
      </c>
      <c r="Q207" s="4">
        <f t="shared" si="93"/>
        <v>44800</v>
      </c>
      <c r="R207" s="4">
        <f t="shared" si="94"/>
        <v>891200</v>
      </c>
    </row>
    <row r="208" spans="1:18" s="14" customFormat="1" ht="36" x14ac:dyDescent="0.2">
      <c r="A208" s="81">
        <v>1115062</v>
      </c>
      <c r="B208" s="2" t="s">
        <v>89</v>
      </c>
      <c r="C208" s="2" t="s">
        <v>54</v>
      </c>
      <c r="D208" s="3" t="s">
        <v>90</v>
      </c>
      <c r="E208" s="4">
        <v>22226337</v>
      </c>
      <c r="F208" s="4">
        <f t="shared" si="103"/>
        <v>2207500</v>
      </c>
      <c r="G208" s="4">
        <f>930000+7500+1270000</f>
        <v>2207500</v>
      </c>
      <c r="H208" s="4"/>
      <c r="I208" s="4">
        <f t="shared" si="104"/>
        <v>24433837</v>
      </c>
      <c r="J208" s="4">
        <v>0</v>
      </c>
      <c r="K208" s="4">
        <f t="shared" si="105"/>
        <v>0</v>
      </c>
      <c r="L208" s="4"/>
      <c r="M208" s="4"/>
      <c r="N208" s="4"/>
      <c r="O208" s="4">
        <f t="shared" si="106"/>
        <v>0</v>
      </c>
      <c r="P208" s="4">
        <f t="shared" si="92"/>
        <v>22226337</v>
      </c>
      <c r="Q208" s="4">
        <f t="shared" si="93"/>
        <v>2207500</v>
      </c>
      <c r="R208" s="4">
        <f t="shared" si="94"/>
        <v>24433837</v>
      </c>
    </row>
    <row r="209" spans="1:19" s="14" customFormat="1" ht="13.5" customHeight="1" x14ac:dyDescent="0.2">
      <c r="A209" s="81"/>
      <c r="B209" s="2"/>
      <c r="C209" s="2"/>
      <c r="D209" s="3" t="s">
        <v>468</v>
      </c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>
        <f t="shared" si="92"/>
        <v>0</v>
      </c>
      <c r="Q209" s="4">
        <f t="shared" si="93"/>
        <v>0</v>
      </c>
      <c r="R209" s="4">
        <f t="shared" si="94"/>
        <v>0</v>
      </c>
    </row>
    <row r="210" spans="1:19" s="14" customFormat="1" ht="15" customHeight="1" x14ac:dyDescent="0.2">
      <c r="A210" s="81"/>
      <c r="B210" s="2"/>
      <c r="C210" s="2"/>
      <c r="D210" s="66" t="s">
        <v>509</v>
      </c>
      <c r="E210" s="4">
        <v>50000</v>
      </c>
      <c r="F210" s="4">
        <f t="shared" si="103"/>
        <v>0</v>
      </c>
      <c r="G210" s="4"/>
      <c r="H210" s="4"/>
      <c r="I210" s="4">
        <f t="shared" si="104"/>
        <v>50000</v>
      </c>
      <c r="J210" s="4"/>
      <c r="K210" s="4"/>
      <c r="L210" s="4"/>
      <c r="M210" s="4"/>
      <c r="N210" s="4"/>
      <c r="O210" s="4"/>
      <c r="P210" s="4">
        <f t="shared" si="92"/>
        <v>50000</v>
      </c>
      <c r="Q210" s="4">
        <f t="shared" si="93"/>
        <v>0</v>
      </c>
      <c r="R210" s="4">
        <f t="shared" si="94"/>
        <v>50000</v>
      </c>
    </row>
    <row r="211" spans="1:19" s="13" customFormat="1" ht="36" customHeight="1" x14ac:dyDescent="0.2">
      <c r="A211" s="16" t="s">
        <v>149</v>
      </c>
      <c r="B211" s="10"/>
      <c r="C211" s="10"/>
      <c r="D211" s="11" t="s">
        <v>411</v>
      </c>
      <c r="E211" s="12">
        <f>E213+E215+E216+E217+E219+E224+E226+E214+E229+E227+E218+E223+E228</f>
        <v>198425034</v>
      </c>
      <c r="F211" s="12">
        <f>F213+F215+F216+F217+F219+F224+F226+F214+F229+F227+F218+F223+F228</f>
        <v>3275492</v>
      </c>
      <c r="G211" s="12">
        <f>G213+G215+G216+G217+G219+G224+G226+G214+G229+G227+G218+G223+G228</f>
        <v>3275492</v>
      </c>
      <c r="H211" s="12">
        <f>H213+H215+H216+H217+H219+H224+H226+H214+H229+H227+H218+H223+H228</f>
        <v>0</v>
      </c>
      <c r="I211" s="12">
        <f>I213+I215+I216+I217+I219+I224+I226+I214+I229+I227+I218+I223+I228</f>
        <v>201700526</v>
      </c>
      <c r="J211" s="12">
        <f>J213+J215+J216+J217+J219+J224+J226+J214+J229+J227+J225+J222</f>
        <v>190498096</v>
      </c>
      <c r="K211" s="12">
        <f>K213+K215+K216+K217+K219+K224+K226+K214+K229+K227+K225+K222</f>
        <v>-34910762</v>
      </c>
      <c r="L211" s="12">
        <f t="shared" ref="L211:N211" si="107">L213+L215+L216+L217+L219+L224+L226+L214+L229+L227+L225+L222</f>
        <v>-30110762</v>
      </c>
      <c r="M211" s="12">
        <f t="shared" si="107"/>
        <v>0</v>
      </c>
      <c r="N211" s="12">
        <f t="shared" si="107"/>
        <v>-34910762</v>
      </c>
      <c r="O211" s="12">
        <f>O213+O215+O216+O217+O219+O224+O226+O214+O229+O227+O225+O222</f>
        <v>155587334</v>
      </c>
      <c r="P211" s="12">
        <f>E211+J211</f>
        <v>388923130</v>
      </c>
      <c r="Q211" s="12">
        <f>F211+K211</f>
        <v>-31635270</v>
      </c>
      <c r="R211" s="12">
        <f>I211+O211</f>
        <v>357287860</v>
      </c>
    </row>
    <row r="212" spans="1:19" s="13" customFormat="1" ht="37.5" customHeight="1" x14ac:dyDescent="0.2">
      <c r="A212" s="16" t="s">
        <v>150</v>
      </c>
      <c r="B212" s="10"/>
      <c r="C212" s="10"/>
      <c r="D212" s="11" t="s">
        <v>411</v>
      </c>
      <c r="E212" s="12"/>
      <c r="F212" s="12"/>
      <c r="G212" s="12"/>
      <c r="H212" s="12"/>
      <c r="I212" s="12"/>
      <c r="J212" s="4"/>
      <c r="K212" s="4"/>
      <c r="L212" s="12"/>
      <c r="M212" s="12"/>
      <c r="N212" s="12"/>
      <c r="O212" s="12"/>
      <c r="P212" s="12">
        <f t="shared" si="92"/>
        <v>0</v>
      </c>
      <c r="Q212" s="12">
        <f t="shared" si="93"/>
        <v>0</v>
      </c>
      <c r="R212" s="12">
        <f t="shared" si="94"/>
        <v>0</v>
      </c>
    </row>
    <row r="213" spans="1:19" s="14" customFormat="1" ht="24" x14ac:dyDescent="0.2">
      <c r="A213" s="1" t="s">
        <v>151</v>
      </c>
      <c r="B213" s="2" t="s">
        <v>81</v>
      </c>
      <c r="C213" s="2" t="s">
        <v>34</v>
      </c>
      <c r="D213" s="3" t="s">
        <v>19</v>
      </c>
      <c r="E213" s="4">
        <v>13021545</v>
      </c>
      <c r="F213" s="4">
        <f t="shared" ref="F213:F229" si="108">G213</f>
        <v>24500</v>
      </c>
      <c r="G213" s="4">
        <f>254500-230000</f>
        <v>24500</v>
      </c>
      <c r="H213" s="4"/>
      <c r="I213" s="4">
        <f t="shared" ref="I213:I229" si="109">E213+F213</f>
        <v>13046045</v>
      </c>
      <c r="J213" s="4">
        <v>100000</v>
      </c>
      <c r="K213" s="4">
        <f t="shared" ref="K213:K229" si="110">M213+N213</f>
        <v>-10000</v>
      </c>
      <c r="L213" s="4">
        <f>-10000</f>
        <v>-10000</v>
      </c>
      <c r="M213" s="4"/>
      <c r="N213" s="4">
        <f>-10000</f>
        <v>-10000</v>
      </c>
      <c r="O213" s="4">
        <f t="shared" ref="O213:O229" si="111">J213+K213</f>
        <v>90000</v>
      </c>
      <c r="P213" s="4">
        <f t="shared" si="92"/>
        <v>13121545</v>
      </c>
      <c r="Q213" s="4">
        <f t="shared" si="93"/>
        <v>14500</v>
      </c>
      <c r="R213" s="4">
        <f t="shared" si="94"/>
        <v>13136045</v>
      </c>
    </row>
    <row r="214" spans="1:19" s="14" customFormat="1" ht="12" x14ac:dyDescent="0.2">
      <c r="A214" s="1" t="s">
        <v>264</v>
      </c>
      <c r="B214" s="2" t="s">
        <v>21</v>
      </c>
      <c r="C214" s="2" t="s">
        <v>24</v>
      </c>
      <c r="D214" s="3" t="s">
        <v>454</v>
      </c>
      <c r="E214" s="4">
        <v>5135883</v>
      </c>
      <c r="F214" s="4">
        <f t="shared" si="108"/>
        <v>1129000</v>
      </c>
      <c r="G214" s="4">
        <f>949000+180000</f>
        <v>1129000</v>
      </c>
      <c r="H214" s="4"/>
      <c r="I214" s="4">
        <f t="shared" si="109"/>
        <v>6264883</v>
      </c>
      <c r="J214" s="4">
        <v>2214500</v>
      </c>
      <c r="K214" s="4">
        <f t="shared" si="110"/>
        <v>0</v>
      </c>
      <c r="L214" s="4"/>
      <c r="M214" s="4"/>
      <c r="N214" s="4"/>
      <c r="O214" s="4">
        <f t="shared" si="111"/>
        <v>2214500</v>
      </c>
      <c r="P214" s="4">
        <f t="shared" si="92"/>
        <v>7350383</v>
      </c>
      <c r="Q214" s="4">
        <f t="shared" si="93"/>
        <v>1129000</v>
      </c>
      <c r="R214" s="4">
        <f t="shared" si="94"/>
        <v>8479383</v>
      </c>
    </row>
    <row r="215" spans="1:19" s="14" customFormat="1" ht="24" x14ac:dyDescent="0.2">
      <c r="A215" s="1" t="s">
        <v>274</v>
      </c>
      <c r="B215" s="2" t="s">
        <v>275</v>
      </c>
      <c r="C215" s="2" t="s">
        <v>40</v>
      </c>
      <c r="D215" s="3" t="s">
        <v>276</v>
      </c>
      <c r="E215" s="4">
        <v>5629373</v>
      </c>
      <c r="F215" s="4">
        <f t="shared" si="108"/>
        <v>0</v>
      </c>
      <c r="G215" s="4"/>
      <c r="H215" s="4"/>
      <c r="I215" s="4">
        <f t="shared" si="109"/>
        <v>5629373</v>
      </c>
      <c r="J215" s="4">
        <v>4007346</v>
      </c>
      <c r="K215" s="4">
        <f t="shared" si="110"/>
        <v>-1272601</v>
      </c>
      <c r="L215" s="4">
        <f>-1272601</f>
        <v>-1272601</v>
      </c>
      <c r="M215" s="4"/>
      <c r="N215" s="4">
        <f>-1272601</f>
        <v>-1272601</v>
      </c>
      <c r="O215" s="4">
        <f t="shared" si="111"/>
        <v>2734745</v>
      </c>
      <c r="P215" s="4">
        <f t="shared" si="92"/>
        <v>9636719</v>
      </c>
      <c r="Q215" s="4">
        <f t="shared" si="93"/>
        <v>-1272601</v>
      </c>
      <c r="R215" s="4">
        <f t="shared" si="94"/>
        <v>8364118</v>
      </c>
    </row>
    <row r="216" spans="1:19" s="14" customFormat="1" ht="12" hidden="1" x14ac:dyDescent="0.2">
      <c r="A216" s="1">
        <v>4116021</v>
      </c>
      <c r="B216" s="2">
        <v>6021</v>
      </c>
      <c r="C216" s="2" t="s">
        <v>39</v>
      </c>
      <c r="D216" s="3" t="s">
        <v>20</v>
      </c>
      <c r="E216" s="4">
        <v>0</v>
      </c>
      <c r="F216" s="4">
        <f t="shared" si="108"/>
        <v>0</v>
      </c>
      <c r="G216" s="4"/>
      <c r="H216" s="4"/>
      <c r="I216" s="4">
        <f t="shared" si="109"/>
        <v>0</v>
      </c>
      <c r="J216" s="4">
        <v>0</v>
      </c>
      <c r="K216" s="4">
        <f t="shared" si="110"/>
        <v>0</v>
      </c>
      <c r="L216" s="4"/>
      <c r="M216" s="4"/>
      <c r="N216" s="4"/>
      <c r="O216" s="4">
        <f t="shared" si="111"/>
        <v>0</v>
      </c>
      <c r="P216" s="4">
        <f t="shared" si="92"/>
        <v>0</v>
      </c>
      <c r="Q216" s="4">
        <f t="shared" si="93"/>
        <v>0</v>
      </c>
      <c r="R216" s="4">
        <f t="shared" si="94"/>
        <v>0</v>
      </c>
    </row>
    <row r="217" spans="1:19" s="14" customFormat="1" ht="24" x14ac:dyDescent="0.2">
      <c r="A217" s="1" t="s">
        <v>152</v>
      </c>
      <c r="B217" s="2" t="s">
        <v>117</v>
      </c>
      <c r="C217" s="2" t="s">
        <v>40</v>
      </c>
      <c r="D217" s="3" t="s">
        <v>118</v>
      </c>
      <c r="E217" s="4">
        <v>5725000</v>
      </c>
      <c r="F217" s="4">
        <f t="shared" si="108"/>
        <v>250000</v>
      </c>
      <c r="G217" s="4">
        <v>250000</v>
      </c>
      <c r="H217" s="4"/>
      <c r="I217" s="4">
        <f t="shared" si="109"/>
        <v>5975000</v>
      </c>
      <c r="J217" s="4">
        <v>0</v>
      </c>
      <c r="K217" s="4">
        <f t="shared" si="110"/>
        <v>0</v>
      </c>
      <c r="L217" s="4"/>
      <c r="M217" s="4"/>
      <c r="N217" s="4"/>
      <c r="O217" s="4">
        <f t="shared" si="111"/>
        <v>0</v>
      </c>
      <c r="P217" s="4">
        <f t="shared" si="92"/>
        <v>5725000</v>
      </c>
      <c r="Q217" s="4">
        <f t="shared" si="93"/>
        <v>250000</v>
      </c>
      <c r="R217" s="4">
        <f t="shared" si="94"/>
        <v>5975000</v>
      </c>
    </row>
    <row r="218" spans="1:19" s="14" customFormat="1" ht="24" x14ac:dyDescent="0.2">
      <c r="A218" s="1" t="s">
        <v>423</v>
      </c>
      <c r="B218" s="2" t="s">
        <v>424</v>
      </c>
      <c r="C218" s="2" t="s">
        <v>40</v>
      </c>
      <c r="D218" s="3" t="s">
        <v>425</v>
      </c>
      <c r="E218" s="4">
        <v>49000</v>
      </c>
      <c r="F218" s="4">
        <f t="shared" si="108"/>
        <v>0</v>
      </c>
      <c r="G218" s="4"/>
      <c r="H218" s="4"/>
      <c r="I218" s="4">
        <f t="shared" si="109"/>
        <v>49000</v>
      </c>
      <c r="J218" s="4">
        <v>0</v>
      </c>
      <c r="K218" s="4">
        <f t="shared" si="110"/>
        <v>0</v>
      </c>
      <c r="L218" s="4"/>
      <c r="M218" s="4"/>
      <c r="N218" s="4"/>
      <c r="O218" s="4">
        <f t="shared" si="111"/>
        <v>0</v>
      </c>
      <c r="P218" s="4">
        <f t="shared" si="92"/>
        <v>49000</v>
      </c>
      <c r="Q218" s="4">
        <f t="shared" si="93"/>
        <v>0</v>
      </c>
      <c r="R218" s="4">
        <f t="shared" si="94"/>
        <v>49000</v>
      </c>
    </row>
    <row r="219" spans="1:19" s="14" customFormat="1" ht="12" x14ac:dyDescent="0.2">
      <c r="A219" s="1" t="s">
        <v>153</v>
      </c>
      <c r="B219" s="2" t="s">
        <v>119</v>
      </c>
      <c r="C219" s="2" t="s">
        <v>40</v>
      </c>
      <c r="D219" s="3" t="s">
        <v>120</v>
      </c>
      <c r="E219" s="4">
        <v>153059233</v>
      </c>
      <c r="F219" s="4">
        <f t="shared" si="108"/>
        <v>-1878008</v>
      </c>
      <c r="G219" s="4">
        <f>-2234300+356292</f>
        <v>-1878008</v>
      </c>
      <c r="H219" s="4"/>
      <c r="I219" s="4">
        <f t="shared" si="109"/>
        <v>151181225</v>
      </c>
      <c r="J219" s="4">
        <v>71688531</v>
      </c>
      <c r="K219" s="4">
        <f t="shared" si="110"/>
        <v>-3578061</v>
      </c>
      <c r="L219" s="4">
        <f>264654+1491285-5334000</f>
        <v>-3578061</v>
      </c>
      <c r="M219" s="4"/>
      <c r="N219" s="4">
        <f>264654+1491285-5334000</f>
        <v>-3578061</v>
      </c>
      <c r="O219" s="4">
        <f t="shared" si="111"/>
        <v>68110470</v>
      </c>
      <c r="P219" s="4">
        <f t="shared" si="92"/>
        <v>224747764</v>
      </c>
      <c r="Q219" s="4">
        <f t="shared" si="93"/>
        <v>-5456069</v>
      </c>
      <c r="R219" s="4">
        <f t="shared" si="94"/>
        <v>219291695</v>
      </c>
    </row>
    <row r="220" spans="1:19" s="14" customFormat="1" ht="48" x14ac:dyDescent="0.2">
      <c r="A220" s="1"/>
      <c r="B220" s="2"/>
      <c r="C220" s="2"/>
      <c r="D220" s="21" t="s">
        <v>440</v>
      </c>
      <c r="E220" s="4"/>
      <c r="F220" s="4">
        <f t="shared" si="108"/>
        <v>0</v>
      </c>
      <c r="G220" s="4"/>
      <c r="H220" s="4"/>
      <c r="I220" s="4">
        <f t="shared" si="109"/>
        <v>0</v>
      </c>
      <c r="J220" s="4">
        <v>200000</v>
      </c>
      <c r="K220" s="4">
        <f t="shared" si="110"/>
        <v>0</v>
      </c>
      <c r="L220" s="4"/>
      <c r="M220" s="4"/>
      <c r="N220" s="4"/>
      <c r="O220" s="4">
        <f t="shared" si="111"/>
        <v>200000</v>
      </c>
      <c r="P220" s="4">
        <f t="shared" si="92"/>
        <v>200000</v>
      </c>
      <c r="Q220" s="4">
        <f t="shared" si="93"/>
        <v>0</v>
      </c>
      <c r="R220" s="4">
        <f t="shared" si="94"/>
        <v>200000</v>
      </c>
    </row>
    <row r="221" spans="1:19" s="14" customFormat="1" ht="74.25" customHeight="1" x14ac:dyDescent="0.2">
      <c r="A221" s="1"/>
      <c r="B221" s="2"/>
      <c r="C221" s="2"/>
      <c r="D221" s="21" t="s">
        <v>544</v>
      </c>
      <c r="E221" s="4"/>
      <c r="F221" s="4"/>
      <c r="G221" s="4"/>
      <c r="H221" s="4"/>
      <c r="I221" s="4"/>
      <c r="J221" s="4">
        <v>250000</v>
      </c>
      <c r="K221" s="4">
        <f t="shared" si="110"/>
        <v>0</v>
      </c>
      <c r="L221" s="4"/>
      <c r="M221" s="4"/>
      <c r="N221" s="4"/>
      <c r="O221" s="4">
        <f t="shared" si="111"/>
        <v>250000</v>
      </c>
      <c r="P221" s="4">
        <f t="shared" ref="P221" si="112">E221+J221</f>
        <v>250000</v>
      </c>
      <c r="Q221" s="4">
        <f t="shared" ref="Q221" si="113">F221+K221</f>
        <v>0</v>
      </c>
      <c r="R221" s="4">
        <f t="shared" ref="R221" si="114">I221+O221</f>
        <v>250000</v>
      </c>
    </row>
    <row r="222" spans="1:19" s="14" customFormat="1" ht="12" x14ac:dyDescent="0.2">
      <c r="A222" s="78" t="s">
        <v>545</v>
      </c>
      <c r="B222" s="78" t="s">
        <v>389</v>
      </c>
      <c r="C222" s="78" t="s">
        <v>39</v>
      </c>
      <c r="D222" s="93" t="s">
        <v>390</v>
      </c>
      <c r="E222" s="4"/>
      <c r="F222" s="4"/>
      <c r="G222" s="4"/>
      <c r="H222" s="4"/>
      <c r="I222" s="4"/>
      <c r="J222" s="4">
        <v>500000</v>
      </c>
      <c r="K222" s="4">
        <f t="shared" si="110"/>
        <v>-490000</v>
      </c>
      <c r="L222" s="4">
        <f>-490000</f>
        <v>-490000</v>
      </c>
      <c r="M222" s="4"/>
      <c r="N222" s="4">
        <f>-490000</f>
        <v>-490000</v>
      </c>
      <c r="O222" s="4">
        <f t="shared" si="111"/>
        <v>10000</v>
      </c>
      <c r="P222" s="4">
        <f t="shared" ref="P222" si="115">E222+J222</f>
        <v>500000</v>
      </c>
      <c r="Q222" s="4">
        <f t="shared" ref="Q222" si="116">F222+K222</f>
        <v>-490000</v>
      </c>
      <c r="R222" s="4">
        <f t="shared" ref="R222" si="117">I222+O222</f>
        <v>10000</v>
      </c>
    </row>
    <row r="223" spans="1:19" s="14" customFormat="1" ht="24" x14ac:dyDescent="0.2">
      <c r="A223" s="1" t="s">
        <v>452</v>
      </c>
      <c r="B223" s="2" t="s">
        <v>450</v>
      </c>
      <c r="C223" s="2" t="s">
        <v>451</v>
      </c>
      <c r="D223" s="3" t="s">
        <v>453</v>
      </c>
      <c r="E223" s="4">
        <v>15005000</v>
      </c>
      <c r="F223" s="4">
        <f t="shared" si="108"/>
        <v>3750000</v>
      </c>
      <c r="G223" s="4">
        <f>2000000+1750000</f>
        <v>3750000</v>
      </c>
      <c r="H223" s="4"/>
      <c r="I223" s="4">
        <f t="shared" si="109"/>
        <v>18755000</v>
      </c>
      <c r="J223" s="4">
        <v>0</v>
      </c>
      <c r="K223" s="4">
        <f t="shared" si="110"/>
        <v>0</v>
      </c>
      <c r="L223" s="4"/>
      <c r="M223" s="4"/>
      <c r="N223" s="4"/>
      <c r="O223" s="4">
        <f t="shared" si="111"/>
        <v>0</v>
      </c>
      <c r="P223" s="4">
        <f t="shared" si="92"/>
        <v>15005000</v>
      </c>
      <c r="Q223" s="4">
        <f t="shared" si="93"/>
        <v>3750000</v>
      </c>
      <c r="R223" s="4">
        <f t="shared" si="94"/>
        <v>18755000</v>
      </c>
    </row>
    <row r="224" spans="1:19" s="14" customFormat="1" ht="24" x14ac:dyDescent="0.2">
      <c r="A224" s="1" t="s">
        <v>277</v>
      </c>
      <c r="B224" s="2" t="s">
        <v>278</v>
      </c>
      <c r="C224" s="2" t="s">
        <v>247</v>
      </c>
      <c r="D224" s="3" t="s">
        <v>279</v>
      </c>
      <c r="E224" s="4">
        <v>0</v>
      </c>
      <c r="F224" s="4">
        <f t="shared" si="108"/>
        <v>0</v>
      </c>
      <c r="G224" s="4"/>
      <c r="H224" s="4"/>
      <c r="I224" s="4">
        <f t="shared" si="109"/>
        <v>0</v>
      </c>
      <c r="J224" s="4">
        <v>21074274</v>
      </c>
      <c r="K224" s="4">
        <f t="shared" si="110"/>
        <v>-3900000</v>
      </c>
      <c r="L224" s="4">
        <f>-900000-3000000</f>
        <v>-3900000</v>
      </c>
      <c r="M224" s="4"/>
      <c r="N224" s="4">
        <f>-900000-3000000</f>
        <v>-3900000</v>
      </c>
      <c r="O224" s="4">
        <f t="shared" si="111"/>
        <v>17174274</v>
      </c>
      <c r="P224" s="4">
        <f t="shared" si="92"/>
        <v>21074274</v>
      </c>
      <c r="Q224" s="4">
        <f t="shared" si="93"/>
        <v>-3900000</v>
      </c>
      <c r="R224" s="4">
        <f t="shared" si="94"/>
        <v>17174274</v>
      </c>
      <c r="S224" s="18"/>
    </row>
    <row r="225" spans="1:19" s="14" customFormat="1" ht="24" x14ac:dyDescent="0.2">
      <c r="A225" s="2" t="s">
        <v>501</v>
      </c>
      <c r="B225" s="2" t="s">
        <v>267</v>
      </c>
      <c r="C225" s="2" t="s">
        <v>247</v>
      </c>
      <c r="D225" s="3" t="s">
        <v>293</v>
      </c>
      <c r="E225" s="4"/>
      <c r="F225" s="4"/>
      <c r="G225" s="4"/>
      <c r="H225" s="4"/>
      <c r="I225" s="4"/>
      <c r="J225" s="4">
        <v>0</v>
      </c>
      <c r="K225" s="4">
        <f t="shared" si="110"/>
        <v>0</v>
      </c>
      <c r="L225" s="4"/>
      <c r="M225" s="4"/>
      <c r="N225" s="4"/>
      <c r="O225" s="4">
        <f t="shared" si="111"/>
        <v>0</v>
      </c>
      <c r="P225" s="4">
        <f t="shared" ref="P225" si="118">E225+J225</f>
        <v>0</v>
      </c>
      <c r="Q225" s="4">
        <f t="shared" ref="Q225" si="119">F225+K225</f>
        <v>0</v>
      </c>
      <c r="R225" s="4">
        <f t="shared" ref="R225" si="120">I225+O225</f>
        <v>0</v>
      </c>
      <c r="S225" s="18"/>
    </row>
    <row r="226" spans="1:19" s="14" customFormat="1" ht="24" x14ac:dyDescent="0.2">
      <c r="A226" s="1" t="s">
        <v>154</v>
      </c>
      <c r="B226" s="2" t="s">
        <v>101</v>
      </c>
      <c r="C226" s="2" t="s">
        <v>41</v>
      </c>
      <c r="D226" s="3" t="s">
        <v>15</v>
      </c>
      <c r="E226" s="4">
        <v>0</v>
      </c>
      <c r="F226" s="4">
        <f t="shared" si="108"/>
        <v>0</v>
      </c>
      <c r="G226" s="4"/>
      <c r="H226" s="4"/>
      <c r="I226" s="4">
        <f t="shared" si="109"/>
        <v>0</v>
      </c>
      <c r="J226" s="4">
        <v>83823445</v>
      </c>
      <c r="K226" s="4">
        <f t="shared" si="110"/>
        <v>-20860100</v>
      </c>
      <c r="L226" s="4">
        <f>-7390000-3450100-10020000</f>
        <v>-20860100</v>
      </c>
      <c r="M226" s="4"/>
      <c r="N226" s="4">
        <f>-7390000-3450100-10020000</f>
        <v>-20860100</v>
      </c>
      <c r="O226" s="4">
        <f t="shared" si="111"/>
        <v>62963345</v>
      </c>
      <c r="P226" s="4">
        <f t="shared" si="92"/>
        <v>83823445</v>
      </c>
      <c r="Q226" s="4">
        <f t="shared" si="93"/>
        <v>-20860100</v>
      </c>
      <c r="R226" s="4">
        <f t="shared" si="94"/>
        <v>62963345</v>
      </c>
      <c r="S226" s="18">
        <f>L226-N226</f>
        <v>0</v>
      </c>
    </row>
    <row r="227" spans="1:19" s="14" customFormat="1" ht="97.5" customHeight="1" x14ac:dyDescent="0.2">
      <c r="A227" s="1" t="s">
        <v>332</v>
      </c>
      <c r="B227" s="2" t="s">
        <v>326</v>
      </c>
      <c r="C227" s="2" t="s">
        <v>41</v>
      </c>
      <c r="D227" s="3" t="s">
        <v>327</v>
      </c>
      <c r="E227" s="4">
        <v>0</v>
      </c>
      <c r="F227" s="4">
        <f t="shared" si="108"/>
        <v>0</v>
      </c>
      <c r="G227" s="4"/>
      <c r="H227" s="4"/>
      <c r="I227" s="4">
        <f t="shared" si="109"/>
        <v>0</v>
      </c>
      <c r="J227" s="4">
        <v>300000</v>
      </c>
      <c r="K227" s="4">
        <f t="shared" si="110"/>
        <v>0</v>
      </c>
      <c r="L227" s="4"/>
      <c r="M227" s="4"/>
      <c r="N227" s="4"/>
      <c r="O227" s="4">
        <f t="shared" si="111"/>
        <v>300000</v>
      </c>
      <c r="P227" s="4">
        <f t="shared" si="92"/>
        <v>300000</v>
      </c>
      <c r="Q227" s="4">
        <f t="shared" si="93"/>
        <v>0</v>
      </c>
      <c r="R227" s="4">
        <f t="shared" si="94"/>
        <v>300000</v>
      </c>
    </row>
    <row r="228" spans="1:19" s="14" customFormat="1" ht="12" x14ac:dyDescent="0.2">
      <c r="A228" s="1" t="s">
        <v>464</v>
      </c>
      <c r="B228" s="2" t="s">
        <v>351</v>
      </c>
      <c r="C228" s="2" t="s">
        <v>41</v>
      </c>
      <c r="D228" s="3" t="s">
        <v>233</v>
      </c>
      <c r="E228" s="4">
        <v>800000</v>
      </c>
      <c r="F228" s="4"/>
      <c r="G228" s="4"/>
      <c r="H228" s="4"/>
      <c r="I228" s="4">
        <f t="shared" si="109"/>
        <v>800000</v>
      </c>
      <c r="J228" s="4"/>
      <c r="K228" s="4"/>
      <c r="L228" s="4"/>
      <c r="M228" s="4"/>
      <c r="N228" s="4"/>
      <c r="O228" s="4"/>
      <c r="P228" s="4">
        <f t="shared" si="92"/>
        <v>800000</v>
      </c>
      <c r="Q228" s="4">
        <f t="shared" si="93"/>
        <v>0</v>
      </c>
      <c r="R228" s="4">
        <f t="shared" si="94"/>
        <v>800000</v>
      </c>
    </row>
    <row r="229" spans="1:19" s="14" customFormat="1" ht="24" x14ac:dyDescent="0.2">
      <c r="A229" s="1" t="s">
        <v>371</v>
      </c>
      <c r="B229" s="2" t="s">
        <v>121</v>
      </c>
      <c r="C229" s="2" t="s">
        <v>27</v>
      </c>
      <c r="D229" s="3" t="s">
        <v>7</v>
      </c>
      <c r="E229" s="4">
        <v>0</v>
      </c>
      <c r="F229" s="4">
        <f t="shared" si="108"/>
        <v>0</v>
      </c>
      <c r="G229" s="4"/>
      <c r="H229" s="4"/>
      <c r="I229" s="4">
        <f t="shared" si="109"/>
        <v>0</v>
      </c>
      <c r="J229" s="4">
        <v>6790000</v>
      </c>
      <c r="K229" s="4">
        <f t="shared" si="110"/>
        <v>-4800000</v>
      </c>
      <c r="L229" s="4"/>
      <c r="M229" s="4"/>
      <c r="N229" s="4">
        <f>-4800000</f>
        <v>-4800000</v>
      </c>
      <c r="O229" s="4">
        <f t="shared" si="111"/>
        <v>1990000</v>
      </c>
      <c r="P229" s="4">
        <f t="shared" si="92"/>
        <v>6790000</v>
      </c>
      <c r="Q229" s="4">
        <f t="shared" si="93"/>
        <v>-4800000</v>
      </c>
      <c r="R229" s="4">
        <f t="shared" si="94"/>
        <v>1990000</v>
      </c>
    </row>
    <row r="230" spans="1:19" s="13" customFormat="1" ht="24" x14ac:dyDescent="0.2">
      <c r="A230" s="16" t="s">
        <v>260</v>
      </c>
      <c r="B230" s="10"/>
      <c r="C230" s="10"/>
      <c r="D230" s="11" t="s">
        <v>412</v>
      </c>
      <c r="E230" s="12">
        <f>E232+E233+E294</f>
        <v>2567860</v>
      </c>
      <c r="F230" s="12">
        <f>F232+F233+F294</f>
        <v>-480400</v>
      </c>
      <c r="G230" s="12">
        <f>G232+G233+G294</f>
        <v>-480400</v>
      </c>
      <c r="H230" s="12">
        <f>H232+H233+H294</f>
        <v>0</v>
      </c>
      <c r="I230" s="12">
        <f>I232+I233+I294</f>
        <v>2087460</v>
      </c>
      <c r="J230" s="12">
        <f>SUM(J237:J246)+J234+J233</f>
        <v>440934855</v>
      </c>
      <c r="K230" s="12">
        <f t="shared" ref="K230:O230" si="121">SUM(K237:K246)+K234+K233</f>
        <v>-3687255</v>
      </c>
      <c r="L230" s="12">
        <f t="shared" si="121"/>
        <v>-4687255</v>
      </c>
      <c r="M230" s="12">
        <f t="shared" si="121"/>
        <v>0</v>
      </c>
      <c r="N230" s="12">
        <f t="shared" si="121"/>
        <v>-3687255</v>
      </c>
      <c r="O230" s="12">
        <f t="shared" si="121"/>
        <v>437247600</v>
      </c>
      <c r="P230" s="12">
        <f>E230+J230</f>
        <v>443502715</v>
      </c>
      <c r="Q230" s="12">
        <f>F230+K230</f>
        <v>-4167655</v>
      </c>
      <c r="R230" s="12">
        <f>I230+O230</f>
        <v>439335060</v>
      </c>
    </row>
    <row r="231" spans="1:19" s="13" customFormat="1" ht="24" x14ac:dyDescent="0.2">
      <c r="A231" s="16" t="s">
        <v>261</v>
      </c>
      <c r="B231" s="10"/>
      <c r="C231" s="10"/>
      <c r="D231" s="11" t="s">
        <v>412</v>
      </c>
      <c r="E231" s="12"/>
      <c r="F231" s="12"/>
      <c r="G231" s="12"/>
      <c r="H231" s="12"/>
      <c r="I231" s="12"/>
      <c r="J231" s="4"/>
      <c r="K231" s="4">
        <f t="shared" ref="K231:K246" si="122">M231+N231</f>
        <v>0</v>
      </c>
      <c r="L231" s="12"/>
      <c r="M231" s="12"/>
      <c r="N231" s="12"/>
      <c r="O231" s="12">
        <f t="shared" ref="O231:O245" si="123">J231+K231</f>
        <v>0</v>
      </c>
      <c r="P231" s="12">
        <f t="shared" si="92"/>
        <v>0</v>
      </c>
      <c r="Q231" s="12">
        <f t="shared" si="93"/>
        <v>0</v>
      </c>
      <c r="R231" s="12">
        <f t="shared" si="94"/>
        <v>0</v>
      </c>
    </row>
    <row r="232" spans="1:19" s="14" customFormat="1" ht="24" x14ac:dyDescent="0.2">
      <c r="A232" s="1" t="s">
        <v>262</v>
      </c>
      <c r="B232" s="2" t="s">
        <v>81</v>
      </c>
      <c r="C232" s="2" t="s">
        <v>34</v>
      </c>
      <c r="D232" s="3" t="s">
        <v>8</v>
      </c>
      <c r="E232" s="4">
        <v>2567860</v>
      </c>
      <c r="F232" s="4">
        <f t="shared" ref="F232:F245" si="124">G232</f>
        <v>-480400</v>
      </c>
      <c r="G232" s="4">
        <f>15000+37600-533000</f>
        <v>-480400</v>
      </c>
      <c r="H232" s="4"/>
      <c r="I232" s="4">
        <f t="shared" ref="I232:I245" si="125">E232+F232</f>
        <v>2087460</v>
      </c>
      <c r="J232" s="4">
        <v>0</v>
      </c>
      <c r="K232" s="4">
        <f t="shared" si="122"/>
        <v>0</v>
      </c>
      <c r="L232" s="4"/>
      <c r="M232" s="4"/>
      <c r="N232" s="4"/>
      <c r="O232" s="4">
        <f t="shared" si="123"/>
        <v>0</v>
      </c>
      <c r="P232" s="4">
        <f t="shared" si="92"/>
        <v>2567860</v>
      </c>
      <c r="Q232" s="4">
        <f t="shared" si="93"/>
        <v>-480400</v>
      </c>
      <c r="R232" s="4">
        <f t="shared" si="94"/>
        <v>2087460</v>
      </c>
    </row>
    <row r="233" spans="1:19" s="14" customFormat="1" ht="12" x14ac:dyDescent="0.2">
      <c r="A233" s="2" t="s">
        <v>270</v>
      </c>
      <c r="B233" s="2" t="s">
        <v>21</v>
      </c>
      <c r="C233" s="2" t="s">
        <v>24</v>
      </c>
      <c r="D233" s="3" t="s">
        <v>198</v>
      </c>
      <c r="E233" s="4">
        <v>0</v>
      </c>
      <c r="F233" s="4">
        <f t="shared" si="124"/>
        <v>0</v>
      </c>
      <c r="G233" s="4"/>
      <c r="H233" s="4"/>
      <c r="I233" s="4">
        <f t="shared" si="125"/>
        <v>0</v>
      </c>
      <c r="J233" s="4">
        <v>6840000</v>
      </c>
      <c r="K233" s="4">
        <f t="shared" si="122"/>
        <v>0</v>
      </c>
      <c r="L233" s="4"/>
      <c r="M233" s="4"/>
      <c r="N233" s="4"/>
      <c r="O233" s="4">
        <f t="shared" si="123"/>
        <v>6840000</v>
      </c>
      <c r="P233" s="4">
        <f t="shared" si="92"/>
        <v>6840000</v>
      </c>
      <c r="Q233" s="4">
        <f t="shared" si="93"/>
        <v>0</v>
      </c>
      <c r="R233" s="4">
        <f t="shared" si="94"/>
        <v>6840000</v>
      </c>
    </row>
    <row r="234" spans="1:19" s="14" customFormat="1" ht="24" x14ac:dyDescent="0.2">
      <c r="A234" s="2" t="s">
        <v>280</v>
      </c>
      <c r="B234" s="2" t="s">
        <v>278</v>
      </c>
      <c r="C234" s="2" t="s">
        <v>247</v>
      </c>
      <c r="D234" s="3" t="s">
        <v>279</v>
      </c>
      <c r="E234" s="4">
        <v>0</v>
      </c>
      <c r="F234" s="4">
        <f t="shared" si="124"/>
        <v>0</v>
      </c>
      <c r="G234" s="4"/>
      <c r="H234" s="4"/>
      <c r="I234" s="4">
        <f t="shared" si="125"/>
        <v>0</v>
      </c>
      <c r="J234" s="4">
        <v>147458311</v>
      </c>
      <c r="K234" s="4">
        <f t="shared" si="122"/>
        <v>5877345</v>
      </c>
      <c r="L234" s="4">
        <f>-23801210+41611904-11824379-81000-27970</f>
        <v>5877345</v>
      </c>
      <c r="M234" s="4"/>
      <c r="N234" s="4">
        <f>-23801210+41611904-11824379-81000-27970</f>
        <v>5877345</v>
      </c>
      <c r="O234" s="4">
        <f t="shared" si="123"/>
        <v>153335656</v>
      </c>
      <c r="P234" s="4">
        <f t="shared" si="92"/>
        <v>147458311</v>
      </c>
      <c r="Q234" s="4">
        <f t="shared" si="93"/>
        <v>5877345</v>
      </c>
      <c r="R234" s="4">
        <f t="shared" si="94"/>
        <v>153335656</v>
      </c>
      <c r="S234" s="18"/>
    </row>
    <row r="235" spans="1:19" s="14" customFormat="1" ht="12" x14ac:dyDescent="0.2">
      <c r="A235" s="2"/>
      <c r="B235" s="2"/>
      <c r="C235" s="2"/>
      <c r="D235" s="3" t="s">
        <v>563</v>
      </c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>
        <f t="shared" ref="P235:P236" si="126">E235+J235</f>
        <v>0</v>
      </c>
      <c r="Q235" s="4">
        <f t="shared" ref="Q235:Q236" si="127">F235+K235</f>
        <v>0</v>
      </c>
      <c r="R235" s="4">
        <f t="shared" ref="R235:R236" si="128">I235+O235</f>
        <v>0</v>
      </c>
      <c r="S235" s="18"/>
    </row>
    <row r="236" spans="1:19" s="14" customFormat="1" ht="48" x14ac:dyDescent="0.2">
      <c r="A236" s="2"/>
      <c r="B236" s="2"/>
      <c r="C236" s="2"/>
      <c r="D236" s="3" t="s">
        <v>564</v>
      </c>
      <c r="E236" s="4"/>
      <c r="F236" s="4"/>
      <c r="G236" s="4"/>
      <c r="H236" s="4"/>
      <c r="I236" s="4"/>
      <c r="J236" s="4"/>
      <c r="K236" s="4">
        <f t="shared" si="122"/>
        <v>60000000</v>
      </c>
      <c r="L236" s="4">
        <f>60000000</f>
        <v>60000000</v>
      </c>
      <c r="M236" s="4"/>
      <c r="N236" s="4">
        <f>60000000</f>
        <v>60000000</v>
      </c>
      <c r="O236" s="4">
        <f t="shared" si="123"/>
        <v>60000000</v>
      </c>
      <c r="P236" s="4">
        <f t="shared" si="126"/>
        <v>0</v>
      </c>
      <c r="Q236" s="4">
        <f t="shared" si="127"/>
        <v>60000000</v>
      </c>
      <c r="R236" s="4">
        <f t="shared" si="128"/>
        <v>60000000</v>
      </c>
      <c r="S236" s="18"/>
    </row>
    <row r="237" spans="1:19" s="14" customFormat="1" ht="12" x14ac:dyDescent="0.2">
      <c r="A237" s="2" t="s">
        <v>281</v>
      </c>
      <c r="B237" s="2" t="s">
        <v>282</v>
      </c>
      <c r="C237" s="2" t="s">
        <v>247</v>
      </c>
      <c r="D237" s="3" t="s">
        <v>283</v>
      </c>
      <c r="E237" s="4">
        <v>0</v>
      </c>
      <c r="F237" s="4">
        <f t="shared" si="124"/>
        <v>0</v>
      </c>
      <c r="G237" s="4"/>
      <c r="H237" s="4"/>
      <c r="I237" s="4">
        <f t="shared" si="125"/>
        <v>0</v>
      </c>
      <c r="J237" s="4">
        <v>17942901</v>
      </c>
      <c r="K237" s="4">
        <f t="shared" si="122"/>
        <v>107400</v>
      </c>
      <c r="L237" s="4">
        <f>107400</f>
        <v>107400</v>
      </c>
      <c r="M237" s="4"/>
      <c r="N237" s="4">
        <f>107400</f>
        <v>107400</v>
      </c>
      <c r="O237" s="4">
        <f t="shared" si="123"/>
        <v>18050301</v>
      </c>
      <c r="P237" s="4">
        <f t="shared" si="92"/>
        <v>17942901</v>
      </c>
      <c r="Q237" s="4">
        <f t="shared" si="93"/>
        <v>107400</v>
      </c>
      <c r="R237" s="4">
        <f t="shared" si="94"/>
        <v>18050301</v>
      </c>
    </row>
    <row r="238" spans="1:19" s="14" customFormat="1" ht="12" x14ac:dyDescent="0.2">
      <c r="A238" s="2" t="s">
        <v>427</v>
      </c>
      <c r="B238" s="2" t="s">
        <v>428</v>
      </c>
      <c r="C238" s="2" t="s">
        <v>247</v>
      </c>
      <c r="D238" s="3" t="s">
        <v>429</v>
      </c>
      <c r="E238" s="4"/>
      <c r="F238" s="4">
        <f t="shared" si="124"/>
        <v>0</v>
      </c>
      <c r="G238" s="4"/>
      <c r="H238" s="4"/>
      <c r="I238" s="4">
        <f t="shared" si="125"/>
        <v>0</v>
      </c>
      <c r="J238" s="4">
        <v>4129242</v>
      </c>
      <c r="K238" s="4">
        <f t="shared" si="122"/>
        <v>0</v>
      </c>
      <c r="L238" s="4"/>
      <c r="M238" s="4"/>
      <c r="N238" s="4"/>
      <c r="O238" s="4">
        <f t="shared" si="123"/>
        <v>4129242</v>
      </c>
      <c r="P238" s="4">
        <f t="shared" si="92"/>
        <v>4129242</v>
      </c>
      <c r="Q238" s="4">
        <f t="shared" si="93"/>
        <v>0</v>
      </c>
      <c r="R238" s="4">
        <f t="shared" si="94"/>
        <v>4129242</v>
      </c>
    </row>
    <row r="239" spans="1:19" s="14" customFormat="1" ht="12" x14ac:dyDescent="0.2">
      <c r="A239" s="2" t="s">
        <v>284</v>
      </c>
      <c r="B239" s="2" t="s">
        <v>285</v>
      </c>
      <c r="C239" s="2" t="s">
        <v>247</v>
      </c>
      <c r="D239" s="3" t="s">
        <v>286</v>
      </c>
      <c r="E239" s="4">
        <v>0</v>
      </c>
      <c r="F239" s="4">
        <f t="shared" si="124"/>
        <v>0</v>
      </c>
      <c r="G239" s="4"/>
      <c r="H239" s="4"/>
      <c r="I239" s="4">
        <f t="shared" si="125"/>
        <v>0</v>
      </c>
      <c r="J239" s="4">
        <v>10544037</v>
      </c>
      <c r="K239" s="4">
        <f t="shared" si="122"/>
        <v>-4400000</v>
      </c>
      <c r="L239" s="4">
        <f>-4400000</f>
        <v>-4400000</v>
      </c>
      <c r="M239" s="4"/>
      <c r="N239" s="4">
        <f>-4400000</f>
        <v>-4400000</v>
      </c>
      <c r="O239" s="4">
        <f t="shared" si="123"/>
        <v>6144037</v>
      </c>
      <c r="P239" s="4">
        <f t="shared" si="92"/>
        <v>10544037</v>
      </c>
      <c r="Q239" s="4">
        <f t="shared" si="93"/>
        <v>-4400000</v>
      </c>
      <c r="R239" s="4">
        <f t="shared" si="94"/>
        <v>6144037</v>
      </c>
    </row>
    <row r="240" spans="1:19" s="14" customFormat="1" ht="24" x14ac:dyDescent="0.2">
      <c r="A240" s="2" t="s">
        <v>287</v>
      </c>
      <c r="B240" s="2" t="s">
        <v>288</v>
      </c>
      <c r="C240" s="2" t="s">
        <v>247</v>
      </c>
      <c r="D240" s="3" t="s">
        <v>289</v>
      </c>
      <c r="E240" s="4">
        <v>0</v>
      </c>
      <c r="F240" s="4">
        <f t="shared" si="124"/>
        <v>0</v>
      </c>
      <c r="G240" s="4"/>
      <c r="H240" s="4"/>
      <c r="I240" s="4">
        <f t="shared" si="125"/>
        <v>0</v>
      </c>
      <c r="J240" s="4">
        <v>775000</v>
      </c>
      <c r="K240" s="4">
        <f t="shared" si="122"/>
        <v>-400000</v>
      </c>
      <c r="L240" s="4">
        <f>-400000</f>
        <v>-400000</v>
      </c>
      <c r="M240" s="4"/>
      <c r="N240" s="4">
        <f>-400000</f>
        <v>-400000</v>
      </c>
      <c r="O240" s="4">
        <f t="shared" si="123"/>
        <v>375000</v>
      </c>
      <c r="P240" s="4">
        <f t="shared" si="92"/>
        <v>775000</v>
      </c>
      <c r="Q240" s="4">
        <f t="shared" si="93"/>
        <v>-400000</v>
      </c>
      <c r="R240" s="4">
        <f t="shared" si="94"/>
        <v>375000</v>
      </c>
    </row>
    <row r="241" spans="1:18" s="14" customFormat="1" ht="12" x14ac:dyDescent="0.2">
      <c r="A241" s="2" t="s">
        <v>290</v>
      </c>
      <c r="B241" s="2" t="s">
        <v>291</v>
      </c>
      <c r="C241" s="2" t="s">
        <v>247</v>
      </c>
      <c r="D241" s="3" t="s">
        <v>448</v>
      </c>
      <c r="E241" s="4">
        <v>0</v>
      </c>
      <c r="F241" s="4">
        <f t="shared" si="124"/>
        <v>0</v>
      </c>
      <c r="G241" s="4"/>
      <c r="H241" s="4"/>
      <c r="I241" s="4">
        <f t="shared" si="125"/>
        <v>0</v>
      </c>
      <c r="J241" s="4">
        <v>232983622</v>
      </c>
      <c r="K241" s="4">
        <f t="shared" si="122"/>
        <v>-5000000</v>
      </c>
      <c r="L241" s="4">
        <f>-5000000</f>
        <v>-5000000</v>
      </c>
      <c r="M241" s="4"/>
      <c r="N241" s="4">
        <f>-5000000</f>
        <v>-5000000</v>
      </c>
      <c r="O241" s="4">
        <f t="shared" si="123"/>
        <v>227983622</v>
      </c>
      <c r="P241" s="4">
        <f t="shared" si="92"/>
        <v>232983622</v>
      </c>
      <c r="Q241" s="4">
        <f t="shared" si="93"/>
        <v>-5000000</v>
      </c>
      <c r="R241" s="4">
        <f t="shared" si="94"/>
        <v>227983622</v>
      </c>
    </row>
    <row r="242" spans="1:18" s="14" customFormat="1" ht="24" x14ac:dyDescent="0.2">
      <c r="A242" s="2" t="s">
        <v>292</v>
      </c>
      <c r="B242" s="2" t="s">
        <v>267</v>
      </c>
      <c r="C242" s="2" t="s">
        <v>247</v>
      </c>
      <c r="D242" s="3" t="s">
        <v>293</v>
      </c>
      <c r="E242" s="4">
        <v>0</v>
      </c>
      <c r="F242" s="4">
        <f t="shared" si="124"/>
        <v>0</v>
      </c>
      <c r="G242" s="4"/>
      <c r="H242" s="4"/>
      <c r="I242" s="4">
        <f t="shared" si="125"/>
        <v>0</v>
      </c>
      <c r="J242" s="4">
        <v>8177403</v>
      </c>
      <c r="K242" s="4">
        <f t="shared" si="122"/>
        <v>-1600000</v>
      </c>
      <c r="L242" s="4">
        <f>-1500000-100000</f>
        <v>-1600000</v>
      </c>
      <c r="M242" s="4"/>
      <c r="N242" s="4">
        <f>-1500000-100000</f>
        <v>-1600000</v>
      </c>
      <c r="O242" s="4">
        <f t="shared" si="123"/>
        <v>6577403</v>
      </c>
      <c r="P242" s="4">
        <f t="shared" si="92"/>
        <v>8177403</v>
      </c>
      <c r="Q242" s="4">
        <f t="shared" si="93"/>
        <v>-1600000</v>
      </c>
      <c r="R242" s="4">
        <f t="shared" si="94"/>
        <v>6577403</v>
      </c>
    </row>
    <row r="243" spans="1:18" s="14" customFormat="1" ht="36" x14ac:dyDescent="0.2">
      <c r="A243" s="29" t="s">
        <v>482</v>
      </c>
      <c r="B243" s="29" t="s">
        <v>483</v>
      </c>
      <c r="C243" s="29" t="s">
        <v>41</v>
      </c>
      <c r="D243" s="30" t="s">
        <v>484</v>
      </c>
      <c r="E243" s="4"/>
      <c r="F243" s="4"/>
      <c r="G243" s="4"/>
      <c r="H243" s="4"/>
      <c r="I243" s="4"/>
      <c r="J243" s="4">
        <v>515253</v>
      </c>
      <c r="K243" s="4">
        <f t="shared" si="122"/>
        <v>0</v>
      </c>
      <c r="L243" s="4"/>
      <c r="M243" s="4"/>
      <c r="N243" s="4"/>
      <c r="O243" s="4">
        <f t="shared" si="123"/>
        <v>515253</v>
      </c>
      <c r="P243" s="4">
        <f t="shared" ref="P243" si="129">E243+J243</f>
        <v>515253</v>
      </c>
      <c r="Q243" s="4">
        <f t="shared" ref="Q243" si="130">F243+K243</f>
        <v>0</v>
      </c>
      <c r="R243" s="4">
        <f t="shared" ref="R243" si="131">I243+O243</f>
        <v>515253</v>
      </c>
    </row>
    <row r="244" spans="1:18" s="14" customFormat="1" ht="24" x14ac:dyDescent="0.2">
      <c r="A244" s="2" t="s">
        <v>402</v>
      </c>
      <c r="B244" s="2" t="s">
        <v>340</v>
      </c>
      <c r="C244" s="2" t="s">
        <v>41</v>
      </c>
      <c r="D244" s="3" t="s">
        <v>122</v>
      </c>
      <c r="E244" s="4"/>
      <c r="F244" s="4">
        <f t="shared" si="124"/>
        <v>0</v>
      </c>
      <c r="G244" s="4"/>
      <c r="H244" s="4"/>
      <c r="I244" s="4">
        <f t="shared" si="125"/>
        <v>0</v>
      </c>
      <c r="J244" s="4">
        <v>6488999</v>
      </c>
      <c r="K244" s="4">
        <f t="shared" si="122"/>
        <v>728000</v>
      </c>
      <c r="L244" s="4">
        <f>728000</f>
        <v>728000</v>
      </c>
      <c r="M244" s="4"/>
      <c r="N244" s="4">
        <f>728000</f>
        <v>728000</v>
      </c>
      <c r="O244" s="4">
        <f t="shared" si="123"/>
        <v>7216999</v>
      </c>
      <c r="P244" s="4">
        <f t="shared" si="92"/>
        <v>6488999</v>
      </c>
      <c r="Q244" s="4">
        <f t="shared" si="93"/>
        <v>728000</v>
      </c>
      <c r="R244" s="4">
        <f t="shared" si="94"/>
        <v>7216999</v>
      </c>
    </row>
    <row r="245" spans="1:18" s="14" customFormat="1" ht="24" x14ac:dyDescent="0.2">
      <c r="A245" s="1" t="s">
        <v>466</v>
      </c>
      <c r="B245" s="2" t="s">
        <v>121</v>
      </c>
      <c r="C245" s="2" t="s">
        <v>27</v>
      </c>
      <c r="D245" s="3" t="s">
        <v>7</v>
      </c>
      <c r="E245" s="4">
        <v>0</v>
      </c>
      <c r="F245" s="4">
        <f t="shared" si="124"/>
        <v>0</v>
      </c>
      <c r="G245" s="4"/>
      <c r="H245" s="4"/>
      <c r="I245" s="4">
        <f t="shared" si="125"/>
        <v>0</v>
      </c>
      <c r="J245" s="4">
        <v>5042140</v>
      </c>
      <c r="K245" s="4">
        <f t="shared" si="122"/>
        <v>1000000</v>
      </c>
      <c r="L245" s="4"/>
      <c r="M245" s="4"/>
      <c r="N245" s="4">
        <v>1000000</v>
      </c>
      <c r="O245" s="4">
        <f t="shared" si="123"/>
        <v>6042140</v>
      </c>
      <c r="P245" s="4">
        <f t="shared" ref="P245" si="132">E245+J245</f>
        <v>5042140</v>
      </c>
      <c r="Q245" s="4">
        <f t="shared" ref="Q245" si="133">F245+K245</f>
        <v>1000000</v>
      </c>
      <c r="R245" s="4">
        <f t="shared" ref="R245" si="134">I245+O245</f>
        <v>6042140</v>
      </c>
    </row>
    <row r="246" spans="1:18" s="14" customFormat="1" ht="12" x14ac:dyDescent="0.2">
      <c r="A246" s="1" t="s">
        <v>485</v>
      </c>
      <c r="B246" s="2" t="s">
        <v>486</v>
      </c>
      <c r="C246" s="2" t="s">
        <v>487</v>
      </c>
      <c r="D246" s="3" t="s">
        <v>488</v>
      </c>
      <c r="E246" s="4"/>
      <c r="F246" s="4"/>
      <c r="G246" s="4"/>
      <c r="H246" s="4"/>
      <c r="I246" s="4"/>
      <c r="J246" s="4">
        <v>37947</v>
      </c>
      <c r="K246" s="4">
        <f t="shared" si="122"/>
        <v>0</v>
      </c>
      <c r="L246" s="4"/>
      <c r="M246" s="4"/>
      <c r="N246" s="4"/>
      <c r="O246" s="4">
        <f t="shared" ref="O246" si="135">J246+K246</f>
        <v>37947</v>
      </c>
      <c r="P246" s="4">
        <f t="shared" ref="P246" si="136">E246+J246</f>
        <v>37947</v>
      </c>
      <c r="Q246" s="4">
        <f t="shared" ref="Q246" si="137">F246+K246</f>
        <v>0</v>
      </c>
      <c r="R246" s="4">
        <f t="shared" ref="R246" si="138">I246+O246</f>
        <v>37947</v>
      </c>
    </row>
    <row r="247" spans="1:18" s="13" customFormat="1" ht="36" x14ac:dyDescent="0.2">
      <c r="A247" s="16" t="s">
        <v>249</v>
      </c>
      <c r="B247" s="10"/>
      <c r="C247" s="10"/>
      <c r="D247" s="17" t="s">
        <v>409</v>
      </c>
      <c r="E247" s="12">
        <f>E249+E257+E259+E250+E253</f>
        <v>14847344</v>
      </c>
      <c r="F247" s="12">
        <f>F249+F257+F259+F250+F253</f>
        <v>706000</v>
      </c>
      <c r="G247" s="12">
        <f>G249+G257+G259+G250+G253</f>
        <v>706000</v>
      </c>
      <c r="H247" s="12">
        <f t="shared" ref="H247:I247" si="139">H249+H257+H259+H250+H253</f>
        <v>0</v>
      </c>
      <c r="I247" s="12">
        <f t="shared" si="139"/>
        <v>15553344</v>
      </c>
      <c r="J247" s="12">
        <f t="shared" ref="J247:O247" si="140">SUM(J249:J259)</f>
        <v>8205344</v>
      </c>
      <c r="K247" s="12">
        <f t="shared" si="140"/>
        <v>191400</v>
      </c>
      <c r="L247" s="12">
        <f t="shared" si="140"/>
        <v>191400</v>
      </c>
      <c r="M247" s="12">
        <f t="shared" si="140"/>
        <v>0</v>
      </c>
      <c r="N247" s="12">
        <f t="shared" si="140"/>
        <v>191400</v>
      </c>
      <c r="O247" s="12">
        <f t="shared" si="140"/>
        <v>8396744</v>
      </c>
      <c r="P247" s="12">
        <f>E247+J247</f>
        <v>23052688</v>
      </c>
      <c r="Q247" s="12">
        <f t="shared" si="93"/>
        <v>897400</v>
      </c>
      <c r="R247" s="12">
        <f t="shared" si="94"/>
        <v>23950088</v>
      </c>
    </row>
    <row r="248" spans="1:18" s="13" customFormat="1" ht="36" x14ac:dyDescent="0.2">
      <c r="A248" s="16" t="s">
        <v>250</v>
      </c>
      <c r="B248" s="10"/>
      <c r="C248" s="10"/>
      <c r="D248" s="17" t="s">
        <v>409</v>
      </c>
      <c r="E248" s="12"/>
      <c r="F248" s="12"/>
      <c r="G248" s="12"/>
      <c r="H248" s="12"/>
      <c r="I248" s="12"/>
      <c r="J248" s="4"/>
      <c r="K248" s="4">
        <f t="shared" ref="K248:K259" si="141">M248+N248</f>
        <v>0</v>
      </c>
      <c r="L248" s="12"/>
      <c r="M248" s="12"/>
      <c r="N248" s="12"/>
      <c r="O248" s="12">
        <f t="shared" ref="O248:O259" si="142">J248+K248</f>
        <v>0</v>
      </c>
      <c r="P248" s="12">
        <f t="shared" si="92"/>
        <v>0</v>
      </c>
      <c r="Q248" s="12">
        <f t="shared" si="93"/>
        <v>0</v>
      </c>
      <c r="R248" s="12">
        <f t="shared" si="94"/>
        <v>0</v>
      </c>
    </row>
    <row r="249" spans="1:18" s="14" customFormat="1" ht="24" x14ac:dyDescent="0.2">
      <c r="A249" s="1" t="s">
        <v>251</v>
      </c>
      <c r="B249" s="2" t="s">
        <v>81</v>
      </c>
      <c r="C249" s="2" t="s">
        <v>34</v>
      </c>
      <c r="D249" s="3" t="s">
        <v>16</v>
      </c>
      <c r="E249" s="4">
        <v>6919048</v>
      </c>
      <c r="F249" s="4">
        <f t="shared" ref="F249:F259" si="143">G249</f>
        <v>346000</v>
      </c>
      <c r="G249" s="4">
        <f>235000+111000</f>
        <v>346000</v>
      </c>
      <c r="H249" s="4"/>
      <c r="I249" s="4">
        <f t="shared" ref="I249:I259" si="144">E249+F249</f>
        <v>7265048</v>
      </c>
      <c r="J249" s="4">
        <v>511330</v>
      </c>
      <c r="K249" s="4">
        <f t="shared" si="141"/>
        <v>0</v>
      </c>
      <c r="L249" s="4"/>
      <c r="M249" s="4"/>
      <c r="N249" s="4"/>
      <c r="O249" s="4">
        <f t="shared" si="142"/>
        <v>511330</v>
      </c>
      <c r="P249" s="4">
        <f t="shared" si="92"/>
        <v>7430378</v>
      </c>
      <c r="Q249" s="4">
        <f t="shared" si="93"/>
        <v>346000</v>
      </c>
      <c r="R249" s="4">
        <f t="shared" si="94"/>
        <v>7776378</v>
      </c>
    </row>
    <row r="250" spans="1:18" s="14" customFormat="1" ht="12" x14ac:dyDescent="0.2">
      <c r="A250" s="1" t="s">
        <v>380</v>
      </c>
      <c r="B250" s="2" t="s">
        <v>21</v>
      </c>
      <c r="C250" s="2" t="s">
        <v>24</v>
      </c>
      <c r="D250" s="3" t="s">
        <v>198</v>
      </c>
      <c r="E250" s="4">
        <v>5403800</v>
      </c>
      <c r="F250" s="4">
        <f t="shared" si="143"/>
        <v>360000</v>
      </c>
      <c r="G250" s="4">
        <v>360000</v>
      </c>
      <c r="H250" s="4"/>
      <c r="I250" s="4">
        <f t="shared" si="144"/>
        <v>5763800</v>
      </c>
      <c r="J250" s="4">
        <v>750639</v>
      </c>
      <c r="K250" s="4">
        <f t="shared" si="141"/>
        <v>0</v>
      </c>
      <c r="L250" s="4"/>
      <c r="M250" s="4"/>
      <c r="N250" s="4"/>
      <c r="O250" s="4">
        <f t="shared" si="142"/>
        <v>750639</v>
      </c>
      <c r="P250" s="4">
        <f t="shared" si="92"/>
        <v>6154439</v>
      </c>
      <c r="Q250" s="4">
        <f t="shared" si="93"/>
        <v>360000</v>
      </c>
      <c r="R250" s="4">
        <f t="shared" si="94"/>
        <v>6514439</v>
      </c>
    </row>
    <row r="251" spans="1:18" s="14" customFormat="1" ht="12" x14ac:dyDescent="0.2">
      <c r="A251" s="1"/>
      <c r="B251" s="2"/>
      <c r="C251" s="2"/>
      <c r="D251" s="3" t="s">
        <v>433</v>
      </c>
      <c r="E251" s="4">
        <v>0</v>
      </c>
      <c r="F251" s="4">
        <f t="shared" si="143"/>
        <v>0</v>
      </c>
      <c r="G251" s="4"/>
      <c r="H251" s="4"/>
      <c r="I251" s="4">
        <f t="shared" si="144"/>
        <v>0</v>
      </c>
      <c r="J251" s="4">
        <v>0</v>
      </c>
      <c r="K251" s="4">
        <f t="shared" si="141"/>
        <v>0</v>
      </c>
      <c r="L251" s="4"/>
      <c r="M251" s="4"/>
      <c r="N251" s="4"/>
      <c r="O251" s="4">
        <f t="shared" si="142"/>
        <v>0</v>
      </c>
      <c r="P251" s="4">
        <f t="shared" si="92"/>
        <v>0</v>
      </c>
      <c r="Q251" s="4">
        <f t="shared" si="93"/>
        <v>0</v>
      </c>
      <c r="R251" s="4">
        <f t="shared" si="94"/>
        <v>0</v>
      </c>
    </row>
    <row r="252" spans="1:18" s="14" customFormat="1" ht="24" x14ac:dyDescent="0.2">
      <c r="A252" s="1"/>
      <c r="B252" s="2"/>
      <c r="C252" s="2"/>
      <c r="D252" s="3" t="s">
        <v>434</v>
      </c>
      <c r="E252" s="4">
        <v>5300000</v>
      </c>
      <c r="F252" s="4">
        <f t="shared" si="143"/>
        <v>360000</v>
      </c>
      <c r="G252" s="4">
        <v>360000</v>
      </c>
      <c r="H252" s="4"/>
      <c r="I252" s="4">
        <f t="shared" si="144"/>
        <v>5660000</v>
      </c>
      <c r="J252" s="4">
        <v>0</v>
      </c>
      <c r="K252" s="4">
        <f t="shared" si="141"/>
        <v>0</v>
      </c>
      <c r="L252" s="4"/>
      <c r="M252" s="4"/>
      <c r="N252" s="4"/>
      <c r="O252" s="4">
        <f t="shared" si="142"/>
        <v>0</v>
      </c>
      <c r="P252" s="4">
        <f t="shared" si="92"/>
        <v>5300000</v>
      </c>
      <c r="Q252" s="4">
        <f>F252+K252</f>
        <v>360000</v>
      </c>
      <c r="R252" s="4">
        <f t="shared" si="94"/>
        <v>5660000</v>
      </c>
    </row>
    <row r="253" spans="1:18" s="14" customFormat="1" ht="12" x14ac:dyDescent="0.2">
      <c r="A253" s="1" t="s">
        <v>552</v>
      </c>
      <c r="B253" s="2" t="s">
        <v>323</v>
      </c>
      <c r="C253" s="2"/>
      <c r="D253" s="3" t="s">
        <v>324</v>
      </c>
      <c r="E253" s="4">
        <v>882948</v>
      </c>
      <c r="F253" s="4">
        <f t="shared" si="143"/>
        <v>0</v>
      </c>
      <c r="G253" s="4"/>
      <c r="H253" s="4"/>
      <c r="I253" s="4">
        <f t="shared" si="144"/>
        <v>882948</v>
      </c>
      <c r="J253" s="4"/>
      <c r="K253" s="4"/>
      <c r="L253" s="4"/>
      <c r="M253" s="4"/>
      <c r="N253" s="4"/>
      <c r="O253" s="4"/>
      <c r="P253" s="4">
        <f t="shared" si="92"/>
        <v>882948</v>
      </c>
      <c r="Q253" s="4">
        <f t="shared" si="93"/>
        <v>0</v>
      </c>
      <c r="R253" s="4">
        <f t="shared" si="94"/>
        <v>882948</v>
      </c>
    </row>
    <row r="254" spans="1:18" s="14" customFormat="1" ht="24" x14ac:dyDescent="0.2">
      <c r="A254" s="83" t="s">
        <v>533</v>
      </c>
      <c r="B254" s="83" t="s">
        <v>278</v>
      </c>
      <c r="C254" s="83" t="s">
        <v>247</v>
      </c>
      <c r="D254" s="84" t="s">
        <v>279</v>
      </c>
      <c r="E254" s="4"/>
      <c r="F254" s="4"/>
      <c r="G254" s="4"/>
      <c r="H254" s="4"/>
      <c r="I254" s="4"/>
      <c r="J254" s="4">
        <v>216500</v>
      </c>
      <c r="K254" s="4">
        <f t="shared" si="141"/>
        <v>0</v>
      </c>
      <c r="L254" s="4"/>
      <c r="M254" s="4"/>
      <c r="N254" s="4"/>
      <c r="O254" s="4">
        <f t="shared" si="142"/>
        <v>216500</v>
      </c>
      <c r="P254" s="4">
        <f t="shared" ref="P254:P255" si="145">E254+J254</f>
        <v>216500</v>
      </c>
      <c r="Q254" s="4">
        <f t="shared" ref="Q254:Q255" si="146">F254+K254</f>
        <v>0</v>
      </c>
      <c r="R254" s="4">
        <f t="shared" ref="R254:R255" si="147">I254+O254</f>
        <v>216500</v>
      </c>
    </row>
    <row r="255" spans="1:18" s="14" customFormat="1" ht="12" x14ac:dyDescent="0.2">
      <c r="A255" s="1" t="s">
        <v>534</v>
      </c>
      <c r="B255" s="2" t="s">
        <v>291</v>
      </c>
      <c r="C255" s="2" t="s">
        <v>247</v>
      </c>
      <c r="D255" s="3" t="s">
        <v>448</v>
      </c>
      <c r="E255" s="4"/>
      <c r="F255" s="4"/>
      <c r="G255" s="4"/>
      <c r="H255" s="4"/>
      <c r="I255" s="4"/>
      <c r="J255" s="4">
        <v>1145500</v>
      </c>
      <c r="K255" s="4">
        <f t="shared" si="141"/>
        <v>0</v>
      </c>
      <c r="L255" s="4"/>
      <c r="M255" s="4"/>
      <c r="N255" s="4"/>
      <c r="O255" s="4">
        <f t="shared" si="142"/>
        <v>1145500</v>
      </c>
      <c r="P255" s="4">
        <f t="shared" si="145"/>
        <v>1145500</v>
      </c>
      <c r="Q255" s="4">
        <f t="shared" si="146"/>
        <v>0</v>
      </c>
      <c r="R255" s="4">
        <f t="shared" si="147"/>
        <v>1145500</v>
      </c>
    </row>
    <row r="256" spans="1:18" s="14" customFormat="1" ht="24" x14ac:dyDescent="0.2">
      <c r="A256" s="1" t="s">
        <v>266</v>
      </c>
      <c r="B256" s="2" t="s">
        <v>267</v>
      </c>
      <c r="C256" s="2" t="s">
        <v>247</v>
      </c>
      <c r="D256" s="3" t="s">
        <v>268</v>
      </c>
      <c r="E256" s="4">
        <v>0</v>
      </c>
      <c r="F256" s="4">
        <f>G256</f>
        <v>0</v>
      </c>
      <c r="G256" s="4"/>
      <c r="H256" s="4"/>
      <c r="I256" s="4">
        <f>E256+F256</f>
        <v>0</v>
      </c>
      <c r="J256" s="4">
        <v>4001375</v>
      </c>
      <c r="K256" s="4">
        <f>M256+N256</f>
        <v>-982000</v>
      </c>
      <c r="L256" s="4">
        <f>-982000</f>
        <v>-982000</v>
      </c>
      <c r="M256" s="4"/>
      <c r="N256" s="4">
        <f>-982000</f>
        <v>-982000</v>
      </c>
      <c r="O256" s="4">
        <f>J256+K256</f>
        <v>3019375</v>
      </c>
      <c r="P256" s="4">
        <f>E256+J256</f>
        <v>4001375</v>
      </c>
      <c r="Q256" s="4">
        <f>F256+K256</f>
        <v>-982000</v>
      </c>
      <c r="R256" s="4">
        <f>I256+O256</f>
        <v>3019375</v>
      </c>
    </row>
    <row r="257" spans="1:18" s="14" customFormat="1" ht="24" x14ac:dyDescent="0.2">
      <c r="A257" s="1" t="s">
        <v>252</v>
      </c>
      <c r="B257" s="2" t="s">
        <v>246</v>
      </c>
      <c r="C257" s="2" t="s">
        <v>247</v>
      </c>
      <c r="D257" s="3" t="s">
        <v>248</v>
      </c>
      <c r="E257" s="4">
        <v>1641548</v>
      </c>
      <c r="F257" s="4">
        <f t="shared" si="143"/>
        <v>0</v>
      </c>
      <c r="G257" s="4"/>
      <c r="H257" s="4"/>
      <c r="I257" s="4">
        <f t="shared" si="144"/>
        <v>1641548</v>
      </c>
      <c r="J257" s="4">
        <v>0</v>
      </c>
      <c r="K257" s="4">
        <f t="shared" si="141"/>
        <v>0</v>
      </c>
      <c r="L257" s="4"/>
      <c r="M257" s="4"/>
      <c r="N257" s="4"/>
      <c r="O257" s="4">
        <f t="shared" si="142"/>
        <v>0</v>
      </c>
      <c r="P257" s="4">
        <f t="shared" si="92"/>
        <v>1641548</v>
      </c>
      <c r="Q257" s="4">
        <f t="shared" si="93"/>
        <v>0</v>
      </c>
      <c r="R257" s="4">
        <f t="shared" si="94"/>
        <v>1641548</v>
      </c>
    </row>
    <row r="258" spans="1:18" s="14" customFormat="1" ht="24" x14ac:dyDescent="0.2">
      <c r="A258" s="2" t="s">
        <v>403</v>
      </c>
      <c r="B258" s="2" t="s">
        <v>101</v>
      </c>
      <c r="C258" s="2" t="s">
        <v>41</v>
      </c>
      <c r="D258" s="94" t="s">
        <v>71</v>
      </c>
      <c r="E258" s="4">
        <v>0</v>
      </c>
      <c r="F258" s="4">
        <f t="shared" si="143"/>
        <v>0</v>
      </c>
      <c r="G258" s="4"/>
      <c r="H258" s="4"/>
      <c r="I258" s="4">
        <f t="shared" si="144"/>
        <v>0</v>
      </c>
      <c r="J258" s="4">
        <v>1270000</v>
      </c>
      <c r="K258" s="4">
        <f t="shared" si="141"/>
        <v>1173400</v>
      </c>
      <c r="L258" s="4">
        <f>1173400</f>
        <v>1173400</v>
      </c>
      <c r="M258" s="4"/>
      <c r="N258" s="4">
        <f>1173400</f>
        <v>1173400</v>
      </c>
      <c r="O258" s="4">
        <f t="shared" si="142"/>
        <v>2443400</v>
      </c>
      <c r="P258" s="4">
        <f t="shared" si="92"/>
        <v>1270000</v>
      </c>
      <c r="Q258" s="4">
        <f t="shared" si="93"/>
        <v>1173400</v>
      </c>
      <c r="R258" s="4">
        <f t="shared" si="94"/>
        <v>2443400</v>
      </c>
    </row>
    <row r="259" spans="1:18" s="14" customFormat="1" ht="100.5" customHeight="1" x14ac:dyDescent="0.2">
      <c r="A259" s="1" t="s">
        <v>439</v>
      </c>
      <c r="B259" s="2" t="s">
        <v>326</v>
      </c>
      <c r="C259" s="2" t="s">
        <v>41</v>
      </c>
      <c r="D259" s="3" t="s">
        <v>327</v>
      </c>
      <c r="E259" s="4">
        <v>0</v>
      </c>
      <c r="F259" s="4">
        <f t="shared" si="143"/>
        <v>0</v>
      </c>
      <c r="G259" s="4"/>
      <c r="H259" s="4"/>
      <c r="I259" s="4">
        <f t="shared" si="144"/>
        <v>0</v>
      </c>
      <c r="J259" s="4">
        <v>310000</v>
      </c>
      <c r="K259" s="4">
        <f t="shared" si="141"/>
        <v>0</v>
      </c>
      <c r="L259" s="4"/>
      <c r="M259" s="4"/>
      <c r="N259" s="4"/>
      <c r="O259" s="4">
        <f t="shared" si="142"/>
        <v>310000</v>
      </c>
      <c r="P259" s="4">
        <f t="shared" ref="P259:P318" si="148">E259+J259</f>
        <v>310000</v>
      </c>
      <c r="Q259" s="4">
        <f t="shared" ref="Q259:Q318" si="149">F259+K259</f>
        <v>0</v>
      </c>
      <c r="R259" s="4">
        <f t="shared" ref="R259:R318" si="150">I259+O259</f>
        <v>310000</v>
      </c>
    </row>
    <row r="260" spans="1:18" s="14" customFormat="1" ht="24" x14ac:dyDescent="0.2">
      <c r="A260" s="16" t="s">
        <v>186</v>
      </c>
      <c r="B260" s="2"/>
      <c r="C260" s="2"/>
      <c r="D260" s="11" t="s">
        <v>413</v>
      </c>
      <c r="E260" s="12">
        <f t="shared" ref="E260:I260" si="151">SUM(E262:E269)</f>
        <v>81908460</v>
      </c>
      <c r="F260" s="12">
        <f t="shared" si="151"/>
        <v>-13000</v>
      </c>
      <c r="G260" s="12">
        <f t="shared" si="151"/>
        <v>-13000</v>
      </c>
      <c r="H260" s="12">
        <f t="shared" si="151"/>
        <v>0</v>
      </c>
      <c r="I260" s="12">
        <f t="shared" si="151"/>
        <v>81895460</v>
      </c>
      <c r="J260" s="12">
        <f>SUM(J262:J270)</f>
        <v>66050100</v>
      </c>
      <c r="K260" s="12">
        <f t="shared" ref="K260:O260" si="152">SUM(K262:K270)</f>
        <v>9500000</v>
      </c>
      <c r="L260" s="12">
        <f t="shared" si="152"/>
        <v>9500000</v>
      </c>
      <c r="M260" s="12">
        <f t="shared" si="152"/>
        <v>0</v>
      </c>
      <c r="N260" s="12">
        <f t="shared" si="152"/>
        <v>9500000</v>
      </c>
      <c r="O260" s="12">
        <f t="shared" si="152"/>
        <v>75550100</v>
      </c>
      <c r="P260" s="12">
        <f>E260+J260</f>
        <v>147958560</v>
      </c>
      <c r="Q260" s="12">
        <f>F260+K260</f>
        <v>9487000</v>
      </c>
      <c r="R260" s="12">
        <f>I260+O260</f>
        <v>157445560</v>
      </c>
    </row>
    <row r="261" spans="1:18" s="14" customFormat="1" ht="24" x14ac:dyDescent="0.2">
      <c r="A261" s="16" t="s">
        <v>187</v>
      </c>
      <c r="B261" s="2"/>
      <c r="C261" s="2"/>
      <c r="D261" s="11" t="s">
        <v>413</v>
      </c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12">
        <f t="shared" si="148"/>
        <v>0</v>
      </c>
      <c r="Q261" s="4">
        <f t="shared" si="149"/>
        <v>0</v>
      </c>
      <c r="R261" s="12">
        <f t="shared" si="150"/>
        <v>0</v>
      </c>
    </row>
    <row r="262" spans="1:18" s="14" customFormat="1" ht="24" x14ac:dyDescent="0.2">
      <c r="A262" s="1" t="s">
        <v>188</v>
      </c>
      <c r="B262" s="2" t="s">
        <v>81</v>
      </c>
      <c r="C262" s="2" t="s">
        <v>34</v>
      </c>
      <c r="D262" s="3" t="s">
        <v>337</v>
      </c>
      <c r="E262" s="4">
        <v>3401960</v>
      </c>
      <c r="F262" s="4">
        <f t="shared" ref="F262:F269" si="153">G262</f>
        <v>-13000</v>
      </c>
      <c r="G262" s="4">
        <f>-13000</f>
        <v>-13000</v>
      </c>
      <c r="H262" s="4"/>
      <c r="I262" s="4">
        <f t="shared" ref="I262:I269" si="154">E262+F262</f>
        <v>3388960</v>
      </c>
      <c r="J262" s="4">
        <v>0</v>
      </c>
      <c r="K262" s="4">
        <f t="shared" ref="K262:K270" si="155">M262+N262</f>
        <v>0</v>
      </c>
      <c r="L262" s="4"/>
      <c r="M262" s="4"/>
      <c r="N262" s="4"/>
      <c r="O262" s="4">
        <f t="shared" ref="O262:O270" si="156">J262+K262</f>
        <v>0</v>
      </c>
      <c r="P262" s="4">
        <f t="shared" si="148"/>
        <v>3401960</v>
      </c>
      <c r="Q262" s="4">
        <f t="shared" si="149"/>
        <v>-13000</v>
      </c>
      <c r="R262" s="4">
        <f t="shared" si="150"/>
        <v>3388960</v>
      </c>
    </row>
    <row r="263" spans="1:18" s="14" customFormat="1" ht="12" x14ac:dyDescent="0.2">
      <c r="A263" s="1" t="s">
        <v>263</v>
      </c>
      <c r="B263" s="2" t="s">
        <v>21</v>
      </c>
      <c r="C263" s="2" t="s">
        <v>24</v>
      </c>
      <c r="D263" s="3" t="s">
        <v>198</v>
      </c>
      <c r="E263" s="4">
        <v>2607700</v>
      </c>
      <c r="F263" s="4">
        <f t="shared" si="153"/>
        <v>-30000</v>
      </c>
      <c r="G263" s="4">
        <v>-30000</v>
      </c>
      <c r="H263" s="4"/>
      <c r="I263" s="4">
        <f t="shared" si="154"/>
        <v>2577700</v>
      </c>
      <c r="J263" s="4"/>
      <c r="K263" s="4">
        <f t="shared" si="155"/>
        <v>0</v>
      </c>
      <c r="L263" s="4"/>
      <c r="M263" s="4"/>
      <c r="N263" s="4"/>
      <c r="O263" s="4">
        <f t="shared" si="156"/>
        <v>0</v>
      </c>
      <c r="P263" s="4">
        <f t="shared" si="148"/>
        <v>2607700</v>
      </c>
      <c r="Q263" s="4">
        <f t="shared" si="149"/>
        <v>-30000</v>
      </c>
      <c r="R263" s="4">
        <f t="shared" si="150"/>
        <v>2577700</v>
      </c>
    </row>
    <row r="264" spans="1:18" s="14" customFormat="1" ht="12" x14ac:dyDescent="0.2">
      <c r="A264" s="1" t="s">
        <v>189</v>
      </c>
      <c r="B264" s="2" t="s">
        <v>119</v>
      </c>
      <c r="C264" s="2" t="s">
        <v>40</v>
      </c>
      <c r="D264" s="3" t="s">
        <v>120</v>
      </c>
      <c r="E264" s="4">
        <v>1898800</v>
      </c>
      <c r="F264" s="4">
        <f t="shared" si="153"/>
        <v>30000</v>
      </c>
      <c r="G264" s="4">
        <v>30000</v>
      </c>
      <c r="H264" s="4"/>
      <c r="I264" s="4">
        <f t="shared" si="154"/>
        <v>1928800</v>
      </c>
      <c r="J264" s="4">
        <v>12581700</v>
      </c>
      <c r="K264" s="4">
        <f t="shared" si="155"/>
        <v>0</v>
      </c>
      <c r="L264" s="4"/>
      <c r="M264" s="4"/>
      <c r="N264" s="4"/>
      <c r="O264" s="4">
        <f t="shared" si="156"/>
        <v>12581700</v>
      </c>
      <c r="P264" s="4">
        <f t="shared" si="148"/>
        <v>14480500</v>
      </c>
      <c r="Q264" s="4">
        <f t="shared" si="149"/>
        <v>30000</v>
      </c>
      <c r="R264" s="4">
        <f t="shared" si="150"/>
        <v>14510500</v>
      </c>
    </row>
    <row r="265" spans="1:18" s="14" customFormat="1" ht="24" x14ac:dyDescent="0.2">
      <c r="A265" s="1" t="s">
        <v>294</v>
      </c>
      <c r="B265" s="2" t="s">
        <v>278</v>
      </c>
      <c r="C265" s="2" t="s">
        <v>247</v>
      </c>
      <c r="D265" s="3" t="s">
        <v>279</v>
      </c>
      <c r="E265" s="4">
        <v>0</v>
      </c>
      <c r="F265" s="4">
        <f t="shared" si="153"/>
        <v>0</v>
      </c>
      <c r="G265" s="4"/>
      <c r="H265" s="4"/>
      <c r="I265" s="4">
        <f t="shared" si="154"/>
        <v>0</v>
      </c>
      <c r="J265" s="4">
        <v>700000</v>
      </c>
      <c r="K265" s="4">
        <f t="shared" si="155"/>
        <v>0</v>
      </c>
      <c r="L265" s="4"/>
      <c r="M265" s="4"/>
      <c r="N265" s="4"/>
      <c r="O265" s="4">
        <f t="shared" si="156"/>
        <v>700000</v>
      </c>
      <c r="P265" s="4">
        <f t="shared" si="148"/>
        <v>700000</v>
      </c>
      <c r="Q265" s="4">
        <f t="shared" si="149"/>
        <v>0</v>
      </c>
      <c r="R265" s="4">
        <f t="shared" si="150"/>
        <v>700000</v>
      </c>
    </row>
    <row r="266" spans="1:18" s="14" customFormat="1" ht="12" x14ac:dyDescent="0.2">
      <c r="A266" s="1" t="s">
        <v>391</v>
      </c>
      <c r="B266" s="2" t="s">
        <v>392</v>
      </c>
      <c r="C266" s="2" t="s">
        <v>393</v>
      </c>
      <c r="D266" s="3" t="s">
        <v>394</v>
      </c>
      <c r="E266" s="4">
        <v>0</v>
      </c>
      <c r="F266" s="4">
        <f t="shared" si="153"/>
        <v>0</v>
      </c>
      <c r="G266" s="4"/>
      <c r="H266" s="4"/>
      <c r="I266" s="4">
        <f t="shared" si="154"/>
        <v>0</v>
      </c>
      <c r="J266" s="4">
        <v>1500000</v>
      </c>
      <c r="K266" s="4">
        <f t="shared" si="155"/>
        <v>-1500000</v>
      </c>
      <c r="L266" s="4">
        <f>-1500000</f>
        <v>-1500000</v>
      </c>
      <c r="M266" s="4"/>
      <c r="N266" s="4">
        <f>-1500000</f>
        <v>-1500000</v>
      </c>
      <c r="O266" s="4">
        <f t="shared" si="156"/>
        <v>0</v>
      </c>
      <c r="P266" s="4">
        <f t="shared" si="148"/>
        <v>1500000</v>
      </c>
      <c r="Q266" s="4">
        <f t="shared" si="149"/>
        <v>-1500000</v>
      </c>
      <c r="R266" s="4">
        <f t="shared" si="150"/>
        <v>0</v>
      </c>
    </row>
    <row r="267" spans="1:18" s="14" customFormat="1" ht="24" x14ac:dyDescent="0.2">
      <c r="A267" s="29" t="s">
        <v>430</v>
      </c>
      <c r="B267" s="29" t="s">
        <v>431</v>
      </c>
      <c r="C267" s="29" t="s">
        <v>269</v>
      </c>
      <c r="D267" s="95" t="s">
        <v>432</v>
      </c>
      <c r="E267" s="4">
        <v>0</v>
      </c>
      <c r="F267" s="4">
        <f t="shared" si="153"/>
        <v>0</v>
      </c>
      <c r="G267" s="4"/>
      <c r="H267" s="4"/>
      <c r="I267" s="4">
        <f t="shared" si="154"/>
        <v>0</v>
      </c>
      <c r="J267" s="4">
        <v>3920400</v>
      </c>
      <c r="K267" s="4">
        <f t="shared" si="155"/>
        <v>0</v>
      </c>
      <c r="L267" s="4"/>
      <c r="M267" s="4"/>
      <c r="N267" s="4"/>
      <c r="O267" s="4">
        <f t="shared" si="156"/>
        <v>3920400</v>
      </c>
      <c r="P267" s="4">
        <f t="shared" si="148"/>
        <v>3920400</v>
      </c>
      <c r="Q267" s="4">
        <f t="shared" si="149"/>
        <v>0</v>
      </c>
      <c r="R267" s="4">
        <f t="shared" si="150"/>
        <v>3920400</v>
      </c>
    </row>
    <row r="268" spans="1:18" s="14" customFormat="1" ht="24" x14ac:dyDescent="0.2">
      <c r="A268" s="1" t="s">
        <v>271</v>
      </c>
      <c r="B268" s="2" t="s">
        <v>272</v>
      </c>
      <c r="C268" s="2" t="s">
        <v>269</v>
      </c>
      <c r="D268" s="3" t="s">
        <v>273</v>
      </c>
      <c r="E268" s="4">
        <v>74000000</v>
      </c>
      <c r="F268" s="4">
        <f t="shared" si="153"/>
        <v>0</v>
      </c>
      <c r="G268" s="4"/>
      <c r="H268" s="4"/>
      <c r="I268" s="4">
        <f t="shared" si="154"/>
        <v>74000000</v>
      </c>
      <c r="J268" s="4">
        <v>0</v>
      </c>
      <c r="K268" s="4">
        <f t="shared" si="155"/>
        <v>0</v>
      </c>
      <c r="L268" s="4"/>
      <c r="M268" s="4"/>
      <c r="N268" s="4"/>
      <c r="O268" s="4">
        <f t="shared" si="156"/>
        <v>0</v>
      </c>
      <c r="P268" s="4">
        <f t="shared" si="148"/>
        <v>74000000</v>
      </c>
      <c r="Q268" s="4">
        <f t="shared" si="149"/>
        <v>0</v>
      </c>
      <c r="R268" s="4">
        <f t="shared" si="150"/>
        <v>74000000</v>
      </c>
    </row>
    <row r="269" spans="1:18" s="14" customFormat="1" ht="24" x14ac:dyDescent="0.2">
      <c r="A269" s="1" t="s">
        <v>190</v>
      </c>
      <c r="B269" s="2" t="s">
        <v>101</v>
      </c>
      <c r="C269" s="2" t="s">
        <v>41</v>
      </c>
      <c r="D269" s="3" t="s">
        <v>15</v>
      </c>
      <c r="E269" s="4">
        <v>0</v>
      </c>
      <c r="F269" s="4">
        <f t="shared" si="153"/>
        <v>0</v>
      </c>
      <c r="G269" s="4"/>
      <c r="H269" s="4"/>
      <c r="I269" s="4">
        <f t="shared" si="154"/>
        <v>0</v>
      </c>
      <c r="J269" s="4">
        <v>47200000</v>
      </c>
      <c r="K269" s="4">
        <f t="shared" si="155"/>
        <v>11000000</v>
      </c>
      <c r="L269" s="4">
        <f>11000000</f>
        <v>11000000</v>
      </c>
      <c r="M269" s="4"/>
      <c r="N269" s="4">
        <f>11000000</f>
        <v>11000000</v>
      </c>
      <c r="O269" s="4">
        <f t="shared" si="156"/>
        <v>58200000</v>
      </c>
      <c r="P269" s="4">
        <f t="shared" si="148"/>
        <v>47200000</v>
      </c>
      <c r="Q269" s="4">
        <f t="shared" si="149"/>
        <v>11000000</v>
      </c>
      <c r="R269" s="4">
        <f t="shared" si="150"/>
        <v>58200000</v>
      </c>
    </row>
    <row r="270" spans="1:18" s="14" customFormat="1" ht="84" x14ac:dyDescent="0.2">
      <c r="A270" s="1" t="s">
        <v>546</v>
      </c>
      <c r="B270" s="2" t="s">
        <v>326</v>
      </c>
      <c r="C270" s="2" t="s">
        <v>41</v>
      </c>
      <c r="D270" s="3" t="s">
        <v>327</v>
      </c>
      <c r="E270" s="4"/>
      <c r="F270" s="4"/>
      <c r="G270" s="4"/>
      <c r="H270" s="4"/>
      <c r="I270" s="4"/>
      <c r="J270" s="4">
        <v>148000</v>
      </c>
      <c r="K270" s="4">
        <f t="shared" si="155"/>
        <v>0</v>
      </c>
      <c r="L270" s="4"/>
      <c r="M270" s="4"/>
      <c r="N270" s="4"/>
      <c r="O270" s="4">
        <f t="shared" si="156"/>
        <v>148000</v>
      </c>
      <c r="P270" s="4">
        <f t="shared" ref="P270" si="157">E270+J270</f>
        <v>148000</v>
      </c>
      <c r="Q270" s="4">
        <f t="shared" ref="Q270" si="158">F270+K270</f>
        <v>0</v>
      </c>
      <c r="R270" s="4">
        <f t="shared" ref="R270" si="159">I270+O270</f>
        <v>148000</v>
      </c>
    </row>
    <row r="271" spans="1:18" s="13" customFormat="1" ht="24" x14ac:dyDescent="0.2">
      <c r="A271" s="16" t="s">
        <v>236</v>
      </c>
      <c r="B271" s="10"/>
      <c r="C271" s="10"/>
      <c r="D271" s="11" t="s">
        <v>414</v>
      </c>
      <c r="E271" s="12">
        <f t="shared" ref="E271:I271" si="160">E273+E274+E275+E276+E278+E280</f>
        <v>14109935</v>
      </c>
      <c r="F271" s="12">
        <f t="shared" si="160"/>
        <v>-3228310</v>
      </c>
      <c r="G271" s="12">
        <f t="shared" si="160"/>
        <v>-3228310</v>
      </c>
      <c r="H271" s="12">
        <f t="shared" si="160"/>
        <v>0</v>
      </c>
      <c r="I271" s="12">
        <f t="shared" si="160"/>
        <v>10881625</v>
      </c>
      <c r="J271" s="12">
        <f>J273+J274+J275+J280</f>
        <v>273100</v>
      </c>
      <c r="K271" s="12">
        <f>K273+K274+K275+K280</f>
        <v>135208</v>
      </c>
      <c r="L271" s="12">
        <f t="shared" ref="L271:O271" si="161">L273+L274+L275+L280</f>
        <v>135208</v>
      </c>
      <c r="M271" s="12">
        <f t="shared" si="161"/>
        <v>0</v>
      </c>
      <c r="N271" s="12">
        <f t="shared" si="161"/>
        <v>135208</v>
      </c>
      <c r="O271" s="12">
        <f t="shared" si="161"/>
        <v>408308</v>
      </c>
      <c r="P271" s="12">
        <f>E271+J271</f>
        <v>14383035</v>
      </c>
      <c r="Q271" s="12">
        <f>F271+K271</f>
        <v>-3093102</v>
      </c>
      <c r="R271" s="12">
        <f>I271+O271</f>
        <v>11289933</v>
      </c>
    </row>
    <row r="272" spans="1:18" s="13" customFormat="1" ht="24" x14ac:dyDescent="0.2">
      <c r="A272" s="16" t="s">
        <v>227</v>
      </c>
      <c r="B272" s="10"/>
      <c r="C272" s="10"/>
      <c r="D272" s="11" t="s">
        <v>414</v>
      </c>
      <c r="E272" s="12"/>
      <c r="F272" s="12"/>
      <c r="G272" s="12"/>
      <c r="H272" s="12"/>
      <c r="I272" s="12"/>
      <c r="J272" s="4">
        <v>0</v>
      </c>
      <c r="K272" s="4"/>
      <c r="L272" s="12"/>
      <c r="M272" s="12"/>
      <c r="N272" s="12"/>
      <c r="O272" s="12"/>
      <c r="P272" s="12">
        <f t="shared" si="148"/>
        <v>0</v>
      </c>
      <c r="Q272" s="12">
        <f t="shared" si="149"/>
        <v>0</v>
      </c>
      <c r="R272" s="12">
        <f t="shared" si="150"/>
        <v>0</v>
      </c>
    </row>
    <row r="273" spans="1:18" s="14" customFormat="1" ht="24" x14ac:dyDescent="0.2">
      <c r="A273" s="1" t="s">
        <v>228</v>
      </c>
      <c r="B273" s="2" t="s">
        <v>81</v>
      </c>
      <c r="C273" s="2" t="s">
        <v>34</v>
      </c>
      <c r="D273" s="3" t="s">
        <v>17</v>
      </c>
      <c r="E273" s="4">
        <v>6026760</v>
      </c>
      <c r="F273" s="4">
        <f>G273</f>
        <v>-146608</v>
      </c>
      <c r="G273" s="4">
        <f>72392-219000</f>
        <v>-146608</v>
      </c>
      <c r="H273" s="4"/>
      <c r="I273" s="4">
        <f t="shared" ref="I273:I279" si="162">E273+F273</f>
        <v>5880152</v>
      </c>
      <c r="J273" s="4">
        <f>83100</f>
        <v>83100</v>
      </c>
      <c r="K273" s="4">
        <f t="shared" ref="K273:K287" si="163">M273+N273</f>
        <v>37608</v>
      </c>
      <c r="L273" s="4">
        <f>37608</f>
        <v>37608</v>
      </c>
      <c r="M273" s="4"/>
      <c r="N273" s="4">
        <f>37608</f>
        <v>37608</v>
      </c>
      <c r="O273" s="4">
        <f t="shared" ref="O273:O287" si="164">J273+K273</f>
        <v>120708</v>
      </c>
      <c r="P273" s="4">
        <f t="shared" si="148"/>
        <v>6109860</v>
      </c>
      <c r="Q273" s="4">
        <f t="shared" si="149"/>
        <v>-109000</v>
      </c>
      <c r="R273" s="4">
        <f t="shared" si="150"/>
        <v>6000860</v>
      </c>
    </row>
    <row r="274" spans="1:18" s="14" customFormat="1" ht="24" x14ac:dyDescent="0.2">
      <c r="A274" s="1" t="s">
        <v>339</v>
      </c>
      <c r="B274" s="2" t="s">
        <v>340</v>
      </c>
      <c r="C274" s="2" t="s">
        <v>41</v>
      </c>
      <c r="D274" s="3" t="s">
        <v>122</v>
      </c>
      <c r="E274" s="4">
        <v>642050</v>
      </c>
      <c r="F274" s="4">
        <f>G274</f>
        <v>0</v>
      </c>
      <c r="G274" s="4"/>
      <c r="H274" s="4"/>
      <c r="I274" s="4">
        <f t="shared" si="162"/>
        <v>642050</v>
      </c>
      <c r="J274" s="4">
        <v>0</v>
      </c>
      <c r="K274" s="4">
        <f t="shared" si="163"/>
        <v>0</v>
      </c>
      <c r="L274" s="4"/>
      <c r="M274" s="4"/>
      <c r="N274" s="4"/>
      <c r="O274" s="4">
        <f t="shared" si="164"/>
        <v>0</v>
      </c>
      <c r="P274" s="4">
        <f t="shared" si="148"/>
        <v>642050</v>
      </c>
      <c r="Q274" s="4">
        <f t="shared" si="149"/>
        <v>0</v>
      </c>
      <c r="R274" s="4">
        <f t="shared" si="150"/>
        <v>642050</v>
      </c>
    </row>
    <row r="275" spans="1:18" s="14" customFormat="1" ht="24" x14ac:dyDescent="0.2">
      <c r="A275" s="1" t="s">
        <v>235</v>
      </c>
      <c r="B275" s="2" t="s">
        <v>123</v>
      </c>
      <c r="C275" s="2" t="s">
        <v>42</v>
      </c>
      <c r="D275" s="3" t="s">
        <v>9</v>
      </c>
      <c r="E275" s="4">
        <v>784000</v>
      </c>
      <c r="F275" s="4">
        <f>G275</f>
        <v>0</v>
      </c>
      <c r="G275" s="4"/>
      <c r="H275" s="4"/>
      <c r="I275" s="4">
        <f t="shared" si="162"/>
        <v>784000</v>
      </c>
      <c r="J275" s="4">
        <v>0</v>
      </c>
      <c r="K275" s="4">
        <f t="shared" si="163"/>
        <v>0</v>
      </c>
      <c r="L275" s="4"/>
      <c r="M275" s="4"/>
      <c r="N275" s="4"/>
      <c r="O275" s="4">
        <f t="shared" si="164"/>
        <v>0</v>
      </c>
      <c r="P275" s="4">
        <f t="shared" si="148"/>
        <v>784000</v>
      </c>
      <c r="Q275" s="4">
        <f t="shared" si="149"/>
        <v>0</v>
      </c>
      <c r="R275" s="4">
        <f t="shared" si="150"/>
        <v>784000</v>
      </c>
    </row>
    <row r="276" spans="1:18" s="14" customFormat="1" ht="12" x14ac:dyDescent="0.2">
      <c r="A276" s="1" t="s">
        <v>231</v>
      </c>
      <c r="B276" s="2" t="s">
        <v>232</v>
      </c>
      <c r="C276" s="2" t="s">
        <v>225</v>
      </c>
      <c r="D276" s="15" t="s">
        <v>230</v>
      </c>
      <c r="E276" s="4">
        <v>200000</v>
      </c>
      <c r="F276" s="4">
        <f t="shared" ref="F276:F280" si="165">G276</f>
        <v>0</v>
      </c>
      <c r="G276" s="4"/>
      <c r="H276" s="4"/>
      <c r="I276" s="4">
        <f t="shared" si="162"/>
        <v>200000</v>
      </c>
      <c r="J276" s="4">
        <v>0</v>
      </c>
      <c r="K276" s="4">
        <f t="shared" si="163"/>
        <v>0</v>
      </c>
      <c r="L276" s="4"/>
      <c r="M276" s="4"/>
      <c r="N276" s="4"/>
      <c r="O276" s="4">
        <f t="shared" si="164"/>
        <v>0</v>
      </c>
      <c r="P276" s="4">
        <f t="shared" si="148"/>
        <v>200000</v>
      </c>
      <c r="Q276" s="4">
        <f t="shared" si="149"/>
        <v>0</v>
      </c>
      <c r="R276" s="4">
        <f t="shared" si="150"/>
        <v>200000</v>
      </c>
    </row>
    <row r="277" spans="1:18" s="14" customFormat="1" ht="24" x14ac:dyDescent="0.2">
      <c r="A277" s="1"/>
      <c r="B277" s="2"/>
      <c r="C277" s="2"/>
      <c r="D277" s="15" t="s">
        <v>513</v>
      </c>
      <c r="E277" s="4">
        <v>200000</v>
      </c>
      <c r="F277" s="4">
        <f t="shared" si="165"/>
        <v>0</v>
      </c>
      <c r="G277" s="4"/>
      <c r="H277" s="4"/>
      <c r="I277" s="4">
        <f t="shared" si="162"/>
        <v>200000</v>
      </c>
      <c r="J277" s="4">
        <v>0</v>
      </c>
      <c r="K277" s="4">
        <f t="shared" si="163"/>
        <v>0</v>
      </c>
      <c r="L277" s="4"/>
      <c r="M277" s="4"/>
      <c r="N277" s="4"/>
      <c r="O277" s="4">
        <f t="shared" si="164"/>
        <v>0</v>
      </c>
      <c r="P277" s="4">
        <f t="shared" si="148"/>
        <v>200000</v>
      </c>
      <c r="Q277" s="4">
        <f t="shared" si="149"/>
        <v>0</v>
      </c>
      <c r="R277" s="4">
        <f t="shared" si="150"/>
        <v>200000</v>
      </c>
    </row>
    <row r="278" spans="1:18" s="14" customFormat="1" ht="24" x14ac:dyDescent="0.2">
      <c r="A278" s="1" t="s">
        <v>226</v>
      </c>
      <c r="B278" s="2" t="s">
        <v>224</v>
      </c>
      <c r="C278" s="2" t="s">
        <v>225</v>
      </c>
      <c r="D278" s="15" t="s">
        <v>341</v>
      </c>
      <c r="E278" s="4">
        <v>682160</v>
      </c>
      <c r="F278" s="4">
        <f t="shared" si="165"/>
        <v>0</v>
      </c>
      <c r="G278" s="4"/>
      <c r="H278" s="4">
        <f t="shared" ref="H278" si="166">H279</f>
        <v>0</v>
      </c>
      <c r="I278" s="4">
        <f t="shared" si="162"/>
        <v>682160</v>
      </c>
      <c r="J278" s="4">
        <v>0</v>
      </c>
      <c r="K278" s="4">
        <f t="shared" si="163"/>
        <v>0</v>
      </c>
      <c r="L278" s="4"/>
      <c r="M278" s="4"/>
      <c r="N278" s="4"/>
      <c r="O278" s="4">
        <f t="shared" si="164"/>
        <v>0</v>
      </c>
      <c r="P278" s="4">
        <f t="shared" si="148"/>
        <v>682160</v>
      </c>
      <c r="Q278" s="4">
        <f t="shared" si="149"/>
        <v>0</v>
      </c>
      <c r="R278" s="4">
        <f t="shared" si="150"/>
        <v>682160</v>
      </c>
    </row>
    <row r="279" spans="1:18" s="14" customFormat="1" ht="24" x14ac:dyDescent="0.2">
      <c r="A279" s="1"/>
      <c r="B279" s="2"/>
      <c r="C279" s="2"/>
      <c r="D279" s="15" t="s">
        <v>514</v>
      </c>
      <c r="E279" s="4">
        <v>662160</v>
      </c>
      <c r="F279" s="4">
        <f t="shared" si="165"/>
        <v>0</v>
      </c>
      <c r="G279" s="4"/>
      <c r="H279" s="4"/>
      <c r="I279" s="4">
        <f t="shared" si="162"/>
        <v>662160</v>
      </c>
      <c r="J279" s="4">
        <v>0</v>
      </c>
      <c r="K279" s="4">
        <f t="shared" si="163"/>
        <v>0</v>
      </c>
      <c r="L279" s="4"/>
      <c r="M279" s="4"/>
      <c r="N279" s="4"/>
      <c r="O279" s="4">
        <f t="shared" si="164"/>
        <v>0</v>
      </c>
      <c r="P279" s="4">
        <f t="shared" si="148"/>
        <v>662160</v>
      </c>
      <c r="Q279" s="4">
        <f t="shared" si="149"/>
        <v>0</v>
      </c>
      <c r="R279" s="4">
        <f t="shared" si="150"/>
        <v>662160</v>
      </c>
    </row>
    <row r="280" spans="1:18" s="14" customFormat="1" ht="12" x14ac:dyDescent="0.2">
      <c r="A280" s="1" t="s">
        <v>229</v>
      </c>
      <c r="B280" s="1" t="s">
        <v>351</v>
      </c>
      <c r="C280" s="2" t="s">
        <v>41</v>
      </c>
      <c r="D280" s="67" t="s">
        <v>233</v>
      </c>
      <c r="E280" s="4">
        <f t="shared" ref="E280:H280" si="167">E282+E286+E287+E288</f>
        <v>5774965</v>
      </c>
      <c r="F280" s="4">
        <f t="shared" si="165"/>
        <v>-3081702</v>
      </c>
      <c r="G280" s="4">
        <f t="shared" si="167"/>
        <v>-3081702</v>
      </c>
      <c r="H280" s="4">
        <f t="shared" si="167"/>
        <v>0</v>
      </c>
      <c r="I280" s="4">
        <f>I282+I286+I287+I288</f>
        <v>2693263</v>
      </c>
      <c r="J280" s="4">
        <v>190000</v>
      </c>
      <c r="K280" s="4">
        <f t="shared" ref="K280:N280" si="168">SUM(K282:K288)</f>
        <v>97600</v>
      </c>
      <c r="L280" s="4">
        <f t="shared" si="168"/>
        <v>97600</v>
      </c>
      <c r="M280" s="4">
        <f t="shared" si="168"/>
        <v>0</v>
      </c>
      <c r="N280" s="4">
        <f t="shared" si="168"/>
        <v>97600</v>
      </c>
      <c r="O280" s="4">
        <f t="shared" si="164"/>
        <v>287600</v>
      </c>
      <c r="P280" s="4">
        <f>E280+J280</f>
        <v>5964965</v>
      </c>
      <c r="Q280" s="4">
        <f>F280+K280</f>
        <v>-2984102</v>
      </c>
      <c r="R280" s="4">
        <f>I280+O280</f>
        <v>2980863</v>
      </c>
    </row>
    <row r="281" spans="1:18" s="14" customFormat="1" ht="12" x14ac:dyDescent="0.2">
      <c r="A281" s="1"/>
      <c r="B281" s="1"/>
      <c r="C281" s="2"/>
      <c r="D281" s="67" t="s">
        <v>234</v>
      </c>
      <c r="E281" s="4">
        <v>0</v>
      </c>
      <c r="F281" s="4"/>
      <c r="G281" s="4"/>
      <c r="H281" s="4"/>
      <c r="I281" s="4">
        <f t="shared" ref="I281:I288" si="169">E281+F281</f>
        <v>0</v>
      </c>
      <c r="J281" s="4"/>
      <c r="K281" s="4">
        <f t="shared" si="163"/>
        <v>0</v>
      </c>
      <c r="L281" s="4"/>
      <c r="M281" s="4"/>
      <c r="N281" s="4"/>
      <c r="O281" s="4">
        <f t="shared" si="164"/>
        <v>0</v>
      </c>
      <c r="P281" s="4">
        <f t="shared" si="148"/>
        <v>0</v>
      </c>
      <c r="Q281" s="4">
        <f t="shared" si="149"/>
        <v>0</v>
      </c>
      <c r="R281" s="4">
        <f t="shared" si="150"/>
        <v>0</v>
      </c>
    </row>
    <row r="282" spans="1:18" s="14" customFormat="1" ht="36" x14ac:dyDescent="0.2">
      <c r="A282" s="1"/>
      <c r="B282" s="1"/>
      <c r="C282" s="2"/>
      <c r="D282" s="67" t="s">
        <v>436</v>
      </c>
      <c r="E282" s="4">
        <v>4233960</v>
      </c>
      <c r="F282" s="4">
        <f t="shared" ref="F282:F288" si="170">G282</f>
        <v>-2971702</v>
      </c>
      <c r="G282" s="4">
        <f>-64504-216000-113340-125468-1595000+245000-65500-635000-32100-25000-99790-245000</f>
        <v>-2971702</v>
      </c>
      <c r="H282" s="4"/>
      <c r="I282" s="4">
        <f t="shared" si="169"/>
        <v>1262258</v>
      </c>
      <c r="J282" s="4">
        <v>0</v>
      </c>
      <c r="K282" s="4">
        <f t="shared" si="163"/>
        <v>0</v>
      </c>
      <c r="L282" s="4"/>
      <c r="M282" s="4"/>
      <c r="N282" s="4"/>
      <c r="O282" s="4">
        <f t="shared" si="164"/>
        <v>0</v>
      </c>
      <c r="P282" s="4">
        <f t="shared" si="148"/>
        <v>4233960</v>
      </c>
      <c r="Q282" s="4">
        <f>F282+K282</f>
        <v>-2971702</v>
      </c>
      <c r="R282" s="4">
        <f t="shared" si="150"/>
        <v>1262258</v>
      </c>
    </row>
    <row r="283" spans="1:18" s="14" customFormat="1" ht="36" x14ac:dyDescent="0.2">
      <c r="A283" s="1"/>
      <c r="B283" s="1"/>
      <c r="C283" s="2"/>
      <c r="D283" s="67" t="s">
        <v>437</v>
      </c>
      <c r="E283" s="4">
        <v>1635000</v>
      </c>
      <c r="F283" s="4">
        <f t="shared" si="170"/>
        <v>-1036890</v>
      </c>
      <c r="G283" s="4">
        <f>-635000-32100-25000-99790-245000</f>
        <v>-1036890</v>
      </c>
      <c r="H283" s="4"/>
      <c r="I283" s="4">
        <f t="shared" si="169"/>
        <v>598110</v>
      </c>
      <c r="J283" s="4">
        <v>0</v>
      </c>
      <c r="K283" s="4">
        <f t="shared" si="163"/>
        <v>32100</v>
      </c>
      <c r="L283" s="4">
        <f>32100</f>
        <v>32100</v>
      </c>
      <c r="M283" s="4"/>
      <c r="N283" s="4">
        <f>32100</f>
        <v>32100</v>
      </c>
      <c r="O283" s="4">
        <f t="shared" si="164"/>
        <v>32100</v>
      </c>
      <c r="P283" s="4">
        <f t="shared" si="148"/>
        <v>1635000</v>
      </c>
      <c r="Q283" s="4">
        <f t="shared" si="149"/>
        <v>-1004790</v>
      </c>
      <c r="R283" s="4">
        <f t="shared" si="150"/>
        <v>630210</v>
      </c>
    </row>
    <row r="284" spans="1:18" s="14" customFormat="1" ht="49.5" customHeight="1" x14ac:dyDescent="0.2">
      <c r="A284" s="1"/>
      <c r="B284" s="2"/>
      <c r="C284" s="2"/>
      <c r="D284" s="96" t="s">
        <v>456</v>
      </c>
      <c r="E284" s="4">
        <v>2197300</v>
      </c>
      <c r="F284" s="4">
        <f t="shared" si="170"/>
        <v>-1934812</v>
      </c>
      <c r="G284" s="4">
        <f>-64504-216000-113340-125468-1595000+245000-65500</f>
        <v>-1934812</v>
      </c>
      <c r="H284" s="4"/>
      <c r="I284" s="4">
        <f t="shared" si="169"/>
        <v>262488</v>
      </c>
      <c r="J284" s="4">
        <v>0</v>
      </c>
      <c r="K284" s="4">
        <f t="shared" si="163"/>
        <v>65500</v>
      </c>
      <c r="L284" s="4">
        <f>65500</f>
        <v>65500</v>
      </c>
      <c r="M284" s="4"/>
      <c r="N284" s="4">
        <f>65500</f>
        <v>65500</v>
      </c>
      <c r="O284" s="4">
        <f t="shared" si="164"/>
        <v>65500</v>
      </c>
      <c r="P284" s="4">
        <f t="shared" si="148"/>
        <v>2197300</v>
      </c>
      <c r="Q284" s="4">
        <f t="shared" si="149"/>
        <v>-1869312</v>
      </c>
      <c r="R284" s="4">
        <f t="shared" si="150"/>
        <v>327988</v>
      </c>
    </row>
    <row r="285" spans="1:18" s="14" customFormat="1" ht="36" hidden="1" x14ac:dyDescent="0.2">
      <c r="A285" s="1"/>
      <c r="B285" s="2"/>
      <c r="C285" s="2"/>
      <c r="D285" s="96" t="s">
        <v>438</v>
      </c>
      <c r="E285" s="4">
        <v>0</v>
      </c>
      <c r="F285" s="4">
        <f t="shared" si="170"/>
        <v>0</v>
      </c>
      <c r="G285" s="4"/>
      <c r="H285" s="4"/>
      <c r="I285" s="4">
        <f t="shared" si="169"/>
        <v>0</v>
      </c>
      <c r="J285" s="4">
        <v>0</v>
      </c>
      <c r="K285" s="4">
        <f t="shared" si="163"/>
        <v>0</v>
      </c>
      <c r="L285" s="4"/>
      <c r="M285" s="4"/>
      <c r="N285" s="4"/>
      <c r="O285" s="4">
        <f t="shared" si="164"/>
        <v>0</v>
      </c>
      <c r="P285" s="4">
        <f t="shared" si="148"/>
        <v>0</v>
      </c>
      <c r="Q285" s="4">
        <f t="shared" si="149"/>
        <v>0</v>
      </c>
      <c r="R285" s="4">
        <f t="shared" si="150"/>
        <v>0</v>
      </c>
    </row>
    <row r="286" spans="1:18" s="14" customFormat="1" ht="36" x14ac:dyDescent="0.2">
      <c r="A286" s="1"/>
      <c r="B286" s="2"/>
      <c r="C286" s="2"/>
      <c r="D286" s="15" t="s">
        <v>435</v>
      </c>
      <c r="E286" s="4">
        <v>850005</v>
      </c>
      <c r="F286" s="4">
        <f t="shared" si="170"/>
        <v>-110000</v>
      </c>
      <c r="G286" s="4">
        <f>-72392-37608</f>
        <v>-110000</v>
      </c>
      <c r="H286" s="4"/>
      <c r="I286" s="4">
        <f t="shared" si="169"/>
        <v>740005</v>
      </c>
      <c r="J286" s="4">
        <v>0</v>
      </c>
      <c r="K286" s="4">
        <f t="shared" si="163"/>
        <v>0</v>
      </c>
      <c r="L286" s="4"/>
      <c r="M286" s="4"/>
      <c r="N286" s="4"/>
      <c r="O286" s="4">
        <f t="shared" si="164"/>
        <v>0</v>
      </c>
      <c r="P286" s="4">
        <f t="shared" si="148"/>
        <v>850005</v>
      </c>
      <c r="Q286" s="4">
        <f t="shared" si="149"/>
        <v>-110000</v>
      </c>
      <c r="R286" s="4">
        <f t="shared" si="150"/>
        <v>740005</v>
      </c>
    </row>
    <row r="287" spans="1:18" s="14" customFormat="1" ht="24" x14ac:dyDescent="0.2">
      <c r="A287" s="1"/>
      <c r="B287" s="2"/>
      <c r="C287" s="2"/>
      <c r="D287" s="15" t="s">
        <v>43</v>
      </c>
      <c r="E287" s="4">
        <v>659000</v>
      </c>
      <c r="F287" s="4">
        <f t="shared" si="170"/>
        <v>0</v>
      </c>
      <c r="G287" s="4"/>
      <c r="H287" s="4"/>
      <c r="I287" s="4">
        <f t="shared" si="169"/>
        <v>659000</v>
      </c>
      <c r="J287" s="4">
        <v>0</v>
      </c>
      <c r="K287" s="4">
        <f t="shared" si="163"/>
        <v>0</v>
      </c>
      <c r="L287" s="4"/>
      <c r="M287" s="4"/>
      <c r="N287" s="4"/>
      <c r="O287" s="4">
        <f t="shared" si="164"/>
        <v>0</v>
      </c>
      <c r="P287" s="4">
        <f t="shared" si="148"/>
        <v>659000</v>
      </c>
      <c r="Q287" s="4">
        <f t="shared" si="149"/>
        <v>0</v>
      </c>
      <c r="R287" s="4">
        <f t="shared" si="150"/>
        <v>659000</v>
      </c>
    </row>
    <row r="288" spans="1:18" s="14" customFormat="1" ht="36" x14ac:dyDescent="0.2">
      <c r="A288" s="1"/>
      <c r="B288" s="2"/>
      <c r="C288" s="2"/>
      <c r="D288" s="67" t="s">
        <v>74</v>
      </c>
      <c r="E288" s="4">
        <v>32000</v>
      </c>
      <c r="F288" s="4">
        <f t="shared" si="170"/>
        <v>0</v>
      </c>
      <c r="G288" s="4"/>
      <c r="H288" s="4"/>
      <c r="I288" s="4">
        <f t="shared" si="169"/>
        <v>32000</v>
      </c>
      <c r="J288" s="4"/>
      <c r="K288" s="4"/>
      <c r="L288" s="4"/>
      <c r="M288" s="4"/>
      <c r="N288" s="4"/>
      <c r="O288" s="4"/>
      <c r="P288" s="4">
        <f t="shared" si="148"/>
        <v>32000</v>
      </c>
      <c r="Q288" s="4">
        <f t="shared" si="149"/>
        <v>0</v>
      </c>
      <c r="R288" s="4">
        <f t="shared" si="150"/>
        <v>32000</v>
      </c>
    </row>
    <row r="289" spans="1:18" s="13" customFormat="1" ht="24" x14ac:dyDescent="0.2">
      <c r="A289" s="16" t="s">
        <v>237</v>
      </c>
      <c r="B289" s="10"/>
      <c r="C289" s="10"/>
      <c r="D289" s="17" t="s">
        <v>420</v>
      </c>
      <c r="E289" s="12">
        <f t="shared" ref="E289:O289" si="171">E291+E293+E292+E294</f>
        <v>10134960</v>
      </c>
      <c r="F289" s="12">
        <f t="shared" si="171"/>
        <v>-265000</v>
      </c>
      <c r="G289" s="12">
        <f t="shared" si="171"/>
        <v>-265000</v>
      </c>
      <c r="H289" s="12">
        <f t="shared" si="171"/>
        <v>0</v>
      </c>
      <c r="I289" s="12">
        <f t="shared" si="171"/>
        <v>9869960</v>
      </c>
      <c r="J289" s="12">
        <f t="shared" si="171"/>
        <v>445000</v>
      </c>
      <c r="K289" s="12">
        <f t="shared" si="171"/>
        <v>0</v>
      </c>
      <c r="L289" s="12">
        <f t="shared" si="171"/>
        <v>0</v>
      </c>
      <c r="M289" s="12">
        <f t="shared" si="171"/>
        <v>0</v>
      </c>
      <c r="N289" s="12">
        <f t="shared" si="171"/>
        <v>0</v>
      </c>
      <c r="O289" s="12">
        <f t="shared" si="171"/>
        <v>445000</v>
      </c>
      <c r="P289" s="12">
        <f t="shared" si="148"/>
        <v>10579960</v>
      </c>
      <c r="Q289" s="12">
        <f t="shared" si="149"/>
        <v>-265000</v>
      </c>
      <c r="R289" s="12">
        <f t="shared" si="150"/>
        <v>10314960</v>
      </c>
    </row>
    <row r="290" spans="1:18" s="13" customFormat="1" ht="24" x14ac:dyDescent="0.2">
      <c r="A290" s="16" t="s">
        <v>238</v>
      </c>
      <c r="B290" s="10"/>
      <c r="C290" s="10"/>
      <c r="D290" s="17" t="s">
        <v>420</v>
      </c>
      <c r="E290" s="12"/>
      <c r="F290" s="12"/>
      <c r="G290" s="12"/>
      <c r="H290" s="12"/>
      <c r="I290" s="12"/>
      <c r="J290" s="4">
        <v>0</v>
      </c>
      <c r="K290" s="4">
        <f t="shared" ref="K290:K294" si="172">M290+N290</f>
        <v>0</v>
      </c>
      <c r="L290" s="12"/>
      <c r="M290" s="12"/>
      <c r="N290" s="12"/>
      <c r="O290" s="12">
        <f t="shared" ref="O290:O294" si="173">J290+K290</f>
        <v>0</v>
      </c>
      <c r="P290" s="12">
        <f t="shared" si="148"/>
        <v>0</v>
      </c>
      <c r="Q290" s="12">
        <f t="shared" si="149"/>
        <v>0</v>
      </c>
      <c r="R290" s="12">
        <f t="shared" si="150"/>
        <v>0</v>
      </c>
    </row>
    <row r="291" spans="1:18" s="14" customFormat="1" ht="24" x14ac:dyDescent="0.2">
      <c r="A291" s="1" t="s">
        <v>239</v>
      </c>
      <c r="B291" s="2" t="s">
        <v>81</v>
      </c>
      <c r="C291" s="2" t="s">
        <v>34</v>
      </c>
      <c r="D291" s="3" t="s">
        <v>37</v>
      </c>
      <c r="E291" s="4">
        <v>9831860</v>
      </c>
      <c r="F291" s="4">
        <f t="shared" ref="F291:F294" si="174">G291</f>
        <v>-265000</v>
      </c>
      <c r="G291" s="4">
        <f>-265000</f>
        <v>-265000</v>
      </c>
      <c r="H291" s="4"/>
      <c r="I291" s="4">
        <f t="shared" ref="I291:I294" si="175">E291+F291</f>
        <v>9566860</v>
      </c>
      <c r="J291" s="4">
        <v>80000</v>
      </c>
      <c r="K291" s="4">
        <f t="shared" si="172"/>
        <v>0</v>
      </c>
      <c r="L291" s="4"/>
      <c r="M291" s="4"/>
      <c r="N291" s="4"/>
      <c r="O291" s="4">
        <f t="shared" si="173"/>
        <v>80000</v>
      </c>
      <c r="P291" s="4">
        <f t="shared" si="148"/>
        <v>9911860</v>
      </c>
      <c r="Q291" s="4">
        <f t="shared" si="149"/>
        <v>-265000</v>
      </c>
      <c r="R291" s="4">
        <f t="shared" si="150"/>
        <v>9646860</v>
      </c>
    </row>
    <row r="292" spans="1:18" s="14" customFormat="1" ht="12" x14ac:dyDescent="0.2">
      <c r="A292" s="1" t="s">
        <v>244</v>
      </c>
      <c r="B292" s="2" t="s">
        <v>21</v>
      </c>
      <c r="C292" s="2" t="s">
        <v>21</v>
      </c>
      <c r="D292" s="3" t="s">
        <v>198</v>
      </c>
      <c r="E292" s="4">
        <v>30000</v>
      </c>
      <c r="F292" s="4">
        <f t="shared" si="174"/>
        <v>0</v>
      </c>
      <c r="G292" s="4"/>
      <c r="H292" s="4"/>
      <c r="I292" s="4">
        <f t="shared" si="175"/>
        <v>30000</v>
      </c>
      <c r="J292" s="4">
        <v>0</v>
      </c>
      <c r="K292" s="4">
        <f t="shared" si="172"/>
        <v>0</v>
      </c>
      <c r="L292" s="4"/>
      <c r="M292" s="4"/>
      <c r="N292" s="4"/>
      <c r="O292" s="4">
        <f t="shared" si="173"/>
        <v>0</v>
      </c>
      <c r="P292" s="4">
        <f t="shared" si="148"/>
        <v>30000</v>
      </c>
      <c r="Q292" s="4">
        <f t="shared" si="149"/>
        <v>0</v>
      </c>
      <c r="R292" s="4">
        <f t="shared" si="150"/>
        <v>30000</v>
      </c>
    </row>
    <row r="293" spans="1:18" s="14" customFormat="1" ht="12" x14ac:dyDescent="0.2">
      <c r="A293" s="1" t="s">
        <v>240</v>
      </c>
      <c r="B293" s="2" t="s">
        <v>241</v>
      </c>
      <c r="C293" s="2" t="s">
        <v>242</v>
      </c>
      <c r="D293" s="3" t="s">
        <v>243</v>
      </c>
      <c r="E293" s="4">
        <v>273100</v>
      </c>
      <c r="F293" s="4">
        <f t="shared" si="174"/>
        <v>0</v>
      </c>
      <c r="G293" s="4"/>
      <c r="H293" s="4"/>
      <c r="I293" s="4">
        <f t="shared" si="175"/>
        <v>273100</v>
      </c>
      <c r="J293" s="4">
        <v>0</v>
      </c>
      <c r="K293" s="4">
        <f t="shared" si="172"/>
        <v>0</v>
      </c>
      <c r="L293" s="4"/>
      <c r="M293" s="4"/>
      <c r="N293" s="4"/>
      <c r="O293" s="4">
        <f t="shared" si="173"/>
        <v>0</v>
      </c>
      <c r="P293" s="4">
        <f t="shared" si="148"/>
        <v>273100</v>
      </c>
      <c r="Q293" s="4">
        <f t="shared" si="149"/>
        <v>0</v>
      </c>
      <c r="R293" s="4">
        <f t="shared" si="150"/>
        <v>273100</v>
      </c>
    </row>
    <row r="294" spans="1:18" s="14" customFormat="1" ht="24" x14ac:dyDescent="0.2">
      <c r="A294" s="1" t="s">
        <v>422</v>
      </c>
      <c r="B294" s="2" t="s">
        <v>121</v>
      </c>
      <c r="C294" s="2" t="s">
        <v>27</v>
      </c>
      <c r="D294" s="3" t="s">
        <v>7</v>
      </c>
      <c r="E294" s="4">
        <v>0</v>
      </c>
      <c r="F294" s="4">
        <f t="shared" si="174"/>
        <v>0</v>
      </c>
      <c r="G294" s="4"/>
      <c r="H294" s="4"/>
      <c r="I294" s="4">
        <f t="shared" si="175"/>
        <v>0</v>
      </c>
      <c r="J294" s="4">
        <v>365000</v>
      </c>
      <c r="K294" s="4">
        <f t="shared" si="172"/>
        <v>0</v>
      </c>
      <c r="L294" s="4"/>
      <c r="M294" s="4"/>
      <c r="N294" s="4"/>
      <c r="O294" s="4">
        <f t="shared" si="173"/>
        <v>365000</v>
      </c>
      <c r="P294" s="4">
        <f t="shared" si="148"/>
        <v>365000</v>
      </c>
      <c r="Q294" s="4">
        <f t="shared" si="149"/>
        <v>0</v>
      </c>
      <c r="R294" s="4">
        <f t="shared" si="150"/>
        <v>365000</v>
      </c>
    </row>
    <row r="295" spans="1:18" s="13" customFormat="1" ht="24" x14ac:dyDescent="0.2">
      <c r="A295" s="16" t="s">
        <v>145</v>
      </c>
      <c r="B295" s="10"/>
      <c r="C295" s="10"/>
      <c r="D295" s="11" t="s">
        <v>410</v>
      </c>
      <c r="E295" s="12">
        <f>E297+E298+E299+E305+E306+E307+E311+E308</f>
        <v>135805729</v>
      </c>
      <c r="F295" s="12">
        <f>F297+F298+F299+F305+F306+F307+F311+F308</f>
        <v>-7454856</v>
      </c>
      <c r="G295" s="12">
        <f>G297+G298+G299+G305+G306+G307+G311+G308</f>
        <v>-7454856</v>
      </c>
      <c r="H295" s="12">
        <f>H297+H298+H299+H305+H306+H307+H311</f>
        <v>0</v>
      </c>
      <c r="I295" s="12">
        <f>I297+I298+I299+I305+I306+I307+I311+I308</f>
        <v>128350873</v>
      </c>
      <c r="J295" s="12">
        <f>J297+J298+J299+J305+J306+J307+J311</f>
        <v>17240500</v>
      </c>
      <c r="K295" s="12">
        <f t="shared" ref="K295:O295" si="176">K297+K298+K299+K305+K306+K307+K311</f>
        <v>-2400000</v>
      </c>
      <c r="L295" s="12">
        <f t="shared" si="176"/>
        <v>-2400000</v>
      </c>
      <c r="M295" s="12">
        <f t="shared" si="176"/>
        <v>0</v>
      </c>
      <c r="N295" s="12">
        <f t="shared" si="176"/>
        <v>-2400000</v>
      </c>
      <c r="O295" s="12">
        <f t="shared" si="176"/>
        <v>14840500</v>
      </c>
      <c r="P295" s="12">
        <f>E295+J295</f>
        <v>153046229</v>
      </c>
      <c r="Q295" s="12">
        <f t="shared" si="149"/>
        <v>-9854856</v>
      </c>
      <c r="R295" s="12">
        <f>I295+O295</f>
        <v>143191373</v>
      </c>
    </row>
    <row r="296" spans="1:18" s="13" customFormat="1" ht="24" x14ac:dyDescent="0.2">
      <c r="A296" s="16" t="s">
        <v>146</v>
      </c>
      <c r="B296" s="10"/>
      <c r="C296" s="10"/>
      <c r="D296" s="11" t="s">
        <v>410</v>
      </c>
      <c r="E296" s="12"/>
      <c r="F296" s="12"/>
      <c r="G296" s="12"/>
      <c r="H296" s="12"/>
      <c r="I296" s="12"/>
      <c r="J296" s="4">
        <v>0</v>
      </c>
      <c r="K296" s="4"/>
      <c r="L296" s="12"/>
      <c r="M296" s="12"/>
      <c r="N296" s="12"/>
      <c r="O296" s="12"/>
      <c r="P296" s="12">
        <f t="shared" si="148"/>
        <v>0</v>
      </c>
      <c r="Q296" s="12">
        <f t="shared" si="149"/>
        <v>0</v>
      </c>
      <c r="R296" s="12">
        <f t="shared" si="150"/>
        <v>0</v>
      </c>
    </row>
    <row r="297" spans="1:18" s="14" customFormat="1" ht="24" x14ac:dyDescent="0.2">
      <c r="A297" s="1" t="s">
        <v>147</v>
      </c>
      <c r="B297" s="2" t="s">
        <v>81</v>
      </c>
      <c r="C297" s="2" t="s">
        <v>34</v>
      </c>
      <c r="D297" s="85" t="s">
        <v>36</v>
      </c>
      <c r="E297" s="4">
        <v>13701810</v>
      </c>
      <c r="F297" s="4">
        <f>G297</f>
        <v>1257740</v>
      </c>
      <c r="G297" s="4">
        <f>100000+49000+200000+323500+50000-14760+550000</f>
        <v>1257740</v>
      </c>
      <c r="H297" s="4"/>
      <c r="I297" s="4">
        <f>E297+F297</f>
        <v>14959550</v>
      </c>
      <c r="J297" s="4">
        <v>530000</v>
      </c>
      <c r="K297" s="4">
        <f t="shared" ref="K297:K307" si="177">M297+N297</f>
        <v>200000</v>
      </c>
      <c r="L297" s="4">
        <f>200000</f>
        <v>200000</v>
      </c>
      <c r="M297" s="4"/>
      <c r="N297" s="4">
        <f>200000</f>
        <v>200000</v>
      </c>
      <c r="O297" s="4">
        <f t="shared" ref="O297:O307" si="178">J297+K297</f>
        <v>730000</v>
      </c>
      <c r="P297" s="4">
        <f t="shared" si="148"/>
        <v>14231810</v>
      </c>
      <c r="Q297" s="4">
        <f t="shared" si="149"/>
        <v>1457740</v>
      </c>
      <c r="R297" s="4">
        <f t="shared" si="150"/>
        <v>15689550</v>
      </c>
    </row>
    <row r="298" spans="1:18" s="14" customFormat="1" ht="12" x14ac:dyDescent="0.2">
      <c r="A298" s="1"/>
      <c r="B298" s="2"/>
      <c r="C298" s="2"/>
      <c r="D298" s="3"/>
      <c r="E298" s="4"/>
      <c r="F298" s="4"/>
      <c r="G298" s="4"/>
      <c r="H298" s="4"/>
      <c r="I298" s="4"/>
      <c r="J298" s="4">
        <v>0</v>
      </c>
      <c r="K298" s="4">
        <f t="shared" si="177"/>
        <v>0</v>
      </c>
      <c r="L298" s="4"/>
      <c r="M298" s="4"/>
      <c r="N298" s="4"/>
      <c r="O298" s="4">
        <f t="shared" si="178"/>
        <v>0</v>
      </c>
      <c r="P298" s="4">
        <f t="shared" si="148"/>
        <v>0</v>
      </c>
      <c r="Q298" s="4">
        <f t="shared" si="149"/>
        <v>0</v>
      </c>
      <c r="R298" s="4">
        <f t="shared" si="150"/>
        <v>0</v>
      </c>
    </row>
    <row r="299" spans="1:18" s="14" customFormat="1" ht="12" x14ac:dyDescent="0.2">
      <c r="A299" s="1" t="s">
        <v>220</v>
      </c>
      <c r="B299" s="2" t="s">
        <v>21</v>
      </c>
      <c r="C299" s="2" t="s">
        <v>24</v>
      </c>
      <c r="D299" s="3" t="s">
        <v>221</v>
      </c>
      <c r="E299" s="4">
        <f t="shared" ref="E299:H299" si="179">E301+E302+E303+E304</f>
        <v>1623156</v>
      </c>
      <c r="F299" s="4">
        <f t="shared" si="179"/>
        <v>-583894</v>
      </c>
      <c r="G299" s="4">
        <f>G301+G302+G303+G304</f>
        <v>-583894</v>
      </c>
      <c r="H299" s="4">
        <f t="shared" si="179"/>
        <v>0</v>
      </c>
      <c r="I299" s="4">
        <f>I301+I302+I303+I304</f>
        <v>1039262</v>
      </c>
      <c r="J299" s="4">
        <v>2130000</v>
      </c>
      <c r="K299" s="4">
        <f t="shared" si="177"/>
        <v>0</v>
      </c>
      <c r="L299" s="4"/>
      <c r="M299" s="4"/>
      <c r="N299" s="4"/>
      <c r="O299" s="4">
        <f t="shared" si="178"/>
        <v>2130000</v>
      </c>
      <c r="P299" s="4">
        <f t="shared" si="148"/>
        <v>3753156</v>
      </c>
      <c r="Q299" s="4">
        <f t="shared" si="149"/>
        <v>-583894</v>
      </c>
      <c r="R299" s="4">
        <f t="shared" si="150"/>
        <v>3169262</v>
      </c>
    </row>
    <row r="300" spans="1:18" s="14" customFormat="1" ht="12" x14ac:dyDescent="0.2">
      <c r="A300" s="1"/>
      <c r="B300" s="2"/>
      <c r="C300" s="2"/>
      <c r="D300" s="3" t="s">
        <v>44</v>
      </c>
      <c r="E300" s="4"/>
      <c r="F300" s="4"/>
      <c r="G300" s="4"/>
      <c r="H300" s="4"/>
      <c r="I300" s="4"/>
      <c r="J300" s="4">
        <v>0</v>
      </c>
      <c r="K300" s="4">
        <f t="shared" si="177"/>
        <v>0</v>
      </c>
      <c r="L300" s="4"/>
      <c r="M300" s="4"/>
      <c r="N300" s="4"/>
      <c r="O300" s="4">
        <f t="shared" si="178"/>
        <v>0</v>
      </c>
      <c r="P300" s="4">
        <f t="shared" si="148"/>
        <v>0</v>
      </c>
      <c r="Q300" s="4">
        <f t="shared" si="149"/>
        <v>0</v>
      </c>
      <c r="R300" s="4">
        <f t="shared" si="150"/>
        <v>0</v>
      </c>
    </row>
    <row r="301" spans="1:18" s="14" customFormat="1" ht="12" x14ac:dyDescent="0.2">
      <c r="A301" s="1"/>
      <c r="B301" s="2"/>
      <c r="C301" s="2"/>
      <c r="D301" s="15" t="s">
        <v>45</v>
      </c>
      <c r="E301" s="4">
        <v>200000</v>
      </c>
      <c r="F301" s="4">
        <f t="shared" ref="F301:F308" si="180">G301</f>
        <v>26060</v>
      </c>
      <c r="G301" s="4">
        <f>14760+11300</f>
        <v>26060</v>
      </c>
      <c r="H301" s="4"/>
      <c r="I301" s="4">
        <f t="shared" ref="I301:I310" si="181">E301+F301</f>
        <v>226060</v>
      </c>
      <c r="J301" s="4">
        <v>0</v>
      </c>
      <c r="K301" s="4">
        <f t="shared" si="177"/>
        <v>0</v>
      </c>
      <c r="L301" s="4"/>
      <c r="M301" s="4"/>
      <c r="N301" s="4"/>
      <c r="O301" s="4">
        <f t="shared" si="178"/>
        <v>0</v>
      </c>
      <c r="P301" s="4">
        <f t="shared" si="148"/>
        <v>200000</v>
      </c>
      <c r="Q301" s="4">
        <f t="shared" si="149"/>
        <v>26060</v>
      </c>
      <c r="R301" s="4">
        <f t="shared" si="150"/>
        <v>226060</v>
      </c>
    </row>
    <row r="302" spans="1:18" s="14" customFormat="1" ht="36" x14ac:dyDescent="0.2">
      <c r="A302" s="1"/>
      <c r="B302" s="2"/>
      <c r="C302" s="2"/>
      <c r="D302" s="3" t="s">
        <v>457</v>
      </c>
      <c r="E302" s="4">
        <v>1335109</v>
      </c>
      <c r="F302" s="4">
        <f t="shared" si="180"/>
        <v>-579954</v>
      </c>
      <c r="G302" s="4">
        <f>125468-150545-89939-454751-8792-1940+508861-508316</f>
        <v>-579954</v>
      </c>
      <c r="H302" s="4"/>
      <c r="I302" s="4">
        <f t="shared" si="181"/>
        <v>755155</v>
      </c>
      <c r="J302" s="4">
        <v>0</v>
      </c>
      <c r="K302" s="4">
        <f t="shared" si="177"/>
        <v>0</v>
      </c>
      <c r="L302" s="4"/>
      <c r="M302" s="4"/>
      <c r="N302" s="4"/>
      <c r="O302" s="4">
        <f t="shared" si="178"/>
        <v>0</v>
      </c>
      <c r="P302" s="4">
        <f t="shared" si="148"/>
        <v>1335109</v>
      </c>
      <c r="Q302" s="4">
        <f t="shared" si="149"/>
        <v>-579954</v>
      </c>
      <c r="R302" s="4">
        <f t="shared" si="150"/>
        <v>755155</v>
      </c>
    </row>
    <row r="303" spans="1:18" s="14" customFormat="1" ht="24" x14ac:dyDescent="0.2">
      <c r="A303" s="1"/>
      <c r="B303" s="2"/>
      <c r="C303" s="2"/>
      <c r="D303" s="3" t="s">
        <v>75</v>
      </c>
      <c r="E303" s="4">
        <v>1047</v>
      </c>
      <c r="F303" s="4">
        <f t="shared" si="180"/>
        <v>0</v>
      </c>
      <c r="G303" s="4"/>
      <c r="H303" s="4"/>
      <c r="I303" s="4">
        <f t="shared" si="181"/>
        <v>1047</v>
      </c>
      <c r="J303" s="4">
        <v>0</v>
      </c>
      <c r="K303" s="4">
        <f t="shared" si="177"/>
        <v>0</v>
      </c>
      <c r="L303" s="4"/>
      <c r="M303" s="4"/>
      <c r="N303" s="4"/>
      <c r="O303" s="4">
        <f t="shared" si="178"/>
        <v>0</v>
      </c>
      <c r="P303" s="4">
        <f t="shared" si="148"/>
        <v>1047</v>
      </c>
      <c r="Q303" s="4">
        <f t="shared" si="149"/>
        <v>0</v>
      </c>
      <c r="R303" s="4">
        <f t="shared" si="150"/>
        <v>1047</v>
      </c>
    </row>
    <row r="304" spans="1:18" s="14" customFormat="1" ht="12" x14ac:dyDescent="0.2">
      <c r="A304" s="1"/>
      <c r="B304" s="2"/>
      <c r="C304" s="2"/>
      <c r="D304" s="86" t="s">
        <v>458</v>
      </c>
      <c r="E304" s="4">
        <v>87000</v>
      </c>
      <c r="F304" s="4">
        <f t="shared" si="180"/>
        <v>-30000</v>
      </c>
      <c r="G304" s="4">
        <v>-30000</v>
      </c>
      <c r="H304" s="4"/>
      <c r="I304" s="4">
        <f t="shared" si="181"/>
        <v>57000</v>
      </c>
      <c r="J304" s="4">
        <v>0</v>
      </c>
      <c r="K304" s="4">
        <f t="shared" si="177"/>
        <v>0</v>
      </c>
      <c r="L304" s="4"/>
      <c r="M304" s="4"/>
      <c r="N304" s="4"/>
      <c r="O304" s="4">
        <f t="shared" si="178"/>
        <v>0</v>
      </c>
      <c r="P304" s="4">
        <f t="shared" si="148"/>
        <v>87000</v>
      </c>
      <c r="Q304" s="4">
        <f t="shared" si="149"/>
        <v>-30000</v>
      </c>
      <c r="R304" s="4">
        <f t="shared" si="150"/>
        <v>57000</v>
      </c>
    </row>
    <row r="305" spans="1:18" s="14" customFormat="1" ht="12" x14ac:dyDescent="0.2">
      <c r="A305" s="1" t="s">
        <v>148</v>
      </c>
      <c r="B305" s="2" t="s">
        <v>124</v>
      </c>
      <c r="C305" s="2" t="s">
        <v>126</v>
      </c>
      <c r="D305" s="3" t="s">
        <v>125</v>
      </c>
      <c r="E305" s="4">
        <v>42348531</v>
      </c>
      <c r="F305" s="4">
        <f t="shared" si="180"/>
        <v>-6807702</v>
      </c>
      <c r="G305" s="4">
        <f>-49990-2370000-600000-2300000-131840-100000-147000-50000-100000-150000-550000-49900-208972</f>
        <v>-6807702</v>
      </c>
      <c r="H305" s="4"/>
      <c r="I305" s="4">
        <f t="shared" si="181"/>
        <v>35540829</v>
      </c>
      <c r="J305" s="4">
        <v>0</v>
      </c>
      <c r="K305" s="4">
        <f t="shared" si="177"/>
        <v>0</v>
      </c>
      <c r="L305" s="4"/>
      <c r="M305" s="4"/>
      <c r="N305" s="4"/>
      <c r="O305" s="4">
        <f t="shared" si="178"/>
        <v>0</v>
      </c>
      <c r="P305" s="4">
        <f t="shared" si="148"/>
        <v>42348531</v>
      </c>
      <c r="Q305" s="4">
        <f t="shared" si="149"/>
        <v>-6807702</v>
      </c>
      <c r="R305" s="4">
        <f t="shared" si="150"/>
        <v>35540829</v>
      </c>
    </row>
    <row r="306" spans="1:18" s="14" customFormat="1" ht="12" x14ac:dyDescent="0.2">
      <c r="A306" s="1" t="s">
        <v>217</v>
      </c>
      <c r="B306" s="2" t="s">
        <v>127</v>
      </c>
      <c r="C306" s="2" t="s">
        <v>24</v>
      </c>
      <c r="D306" s="3" t="s">
        <v>10</v>
      </c>
      <c r="E306" s="4">
        <f>1004832-49000-75000-35000</f>
        <v>845832</v>
      </c>
      <c r="F306" s="4">
        <f t="shared" si="180"/>
        <v>0</v>
      </c>
      <c r="G306" s="4"/>
      <c r="H306" s="4"/>
      <c r="I306" s="4">
        <f t="shared" si="181"/>
        <v>845832</v>
      </c>
      <c r="J306" s="4">
        <v>0</v>
      </c>
      <c r="K306" s="4">
        <f t="shared" si="177"/>
        <v>0</v>
      </c>
      <c r="L306" s="4"/>
      <c r="M306" s="4"/>
      <c r="N306" s="4"/>
      <c r="O306" s="4">
        <f t="shared" si="178"/>
        <v>0</v>
      </c>
      <c r="P306" s="4">
        <f t="shared" si="148"/>
        <v>845832</v>
      </c>
      <c r="Q306" s="4">
        <f t="shared" si="149"/>
        <v>0</v>
      </c>
      <c r="R306" s="4">
        <f t="shared" si="150"/>
        <v>845832</v>
      </c>
    </row>
    <row r="307" spans="1:18" s="14" customFormat="1" ht="12" x14ac:dyDescent="0.2">
      <c r="A307" s="1" t="s">
        <v>218</v>
      </c>
      <c r="B307" s="2" t="s">
        <v>130</v>
      </c>
      <c r="C307" s="2" t="s">
        <v>21</v>
      </c>
      <c r="D307" s="85" t="s">
        <v>23</v>
      </c>
      <c r="E307" s="4">
        <v>68801200</v>
      </c>
      <c r="F307" s="4">
        <f t="shared" si="180"/>
        <v>0</v>
      </c>
      <c r="G307" s="4"/>
      <c r="H307" s="4"/>
      <c r="I307" s="4">
        <f t="shared" si="181"/>
        <v>68801200</v>
      </c>
      <c r="J307" s="4">
        <v>0</v>
      </c>
      <c r="K307" s="4">
        <f t="shared" si="177"/>
        <v>0</v>
      </c>
      <c r="L307" s="4"/>
      <c r="M307" s="4"/>
      <c r="N307" s="4"/>
      <c r="O307" s="4">
        <f t="shared" si="178"/>
        <v>0</v>
      </c>
      <c r="P307" s="4">
        <f t="shared" si="148"/>
        <v>68801200</v>
      </c>
      <c r="Q307" s="4">
        <f t="shared" si="149"/>
        <v>0</v>
      </c>
      <c r="R307" s="4">
        <f t="shared" si="150"/>
        <v>68801200</v>
      </c>
    </row>
    <row r="308" spans="1:18" s="14" customFormat="1" ht="14.45" customHeight="1" x14ac:dyDescent="0.2">
      <c r="A308" s="1" t="s">
        <v>567</v>
      </c>
      <c r="B308" s="2" t="s">
        <v>568</v>
      </c>
      <c r="C308" s="2" t="s">
        <v>21</v>
      </c>
      <c r="D308" s="3" t="s">
        <v>569</v>
      </c>
      <c r="E308" s="4"/>
      <c r="F308" s="4">
        <f t="shared" si="180"/>
        <v>81000</v>
      </c>
      <c r="G308" s="4">
        <v>81000</v>
      </c>
      <c r="H308" s="4"/>
      <c r="I308" s="4">
        <f t="shared" si="181"/>
        <v>81000</v>
      </c>
      <c r="J308" s="4"/>
      <c r="K308" s="4"/>
      <c r="L308" s="4"/>
      <c r="M308" s="4"/>
      <c r="N308" s="4"/>
      <c r="O308" s="4"/>
      <c r="P308" s="4">
        <f t="shared" si="148"/>
        <v>0</v>
      </c>
      <c r="Q308" s="4">
        <f t="shared" si="149"/>
        <v>81000</v>
      </c>
      <c r="R308" s="4">
        <f t="shared" si="150"/>
        <v>81000</v>
      </c>
    </row>
    <row r="309" spans="1:18" s="14" customFormat="1" ht="13.15" customHeight="1" x14ac:dyDescent="0.2">
      <c r="A309" s="1"/>
      <c r="B309" s="2"/>
      <c r="C309" s="2"/>
      <c r="D309" s="3" t="s">
        <v>44</v>
      </c>
      <c r="E309" s="4"/>
      <c r="F309" s="4"/>
      <c r="G309" s="4"/>
      <c r="H309" s="4"/>
      <c r="I309" s="4">
        <f t="shared" si="181"/>
        <v>0</v>
      </c>
      <c r="J309" s="4"/>
      <c r="K309" s="4"/>
      <c r="L309" s="4"/>
      <c r="M309" s="4"/>
      <c r="N309" s="4"/>
      <c r="O309" s="4"/>
      <c r="P309" s="4">
        <f t="shared" si="148"/>
        <v>0</v>
      </c>
      <c r="Q309" s="4">
        <f t="shared" si="149"/>
        <v>0</v>
      </c>
      <c r="R309" s="4">
        <f t="shared" si="150"/>
        <v>0</v>
      </c>
    </row>
    <row r="310" spans="1:18" s="14" customFormat="1" ht="13.15" customHeight="1" x14ac:dyDescent="0.2">
      <c r="A310" s="1"/>
      <c r="B310" s="2"/>
      <c r="C310" s="2"/>
      <c r="D310" s="3" t="s">
        <v>447</v>
      </c>
      <c r="E310" s="4"/>
      <c r="F310" s="4">
        <f>G310</f>
        <v>81000</v>
      </c>
      <c r="G310" s="4">
        <v>81000</v>
      </c>
      <c r="H310" s="4"/>
      <c r="I310" s="4">
        <f t="shared" si="181"/>
        <v>81000</v>
      </c>
      <c r="J310" s="4"/>
      <c r="K310" s="4"/>
      <c r="L310" s="4"/>
      <c r="M310" s="4"/>
      <c r="N310" s="4"/>
      <c r="O310" s="4"/>
      <c r="P310" s="4">
        <f t="shared" si="148"/>
        <v>0</v>
      </c>
      <c r="Q310" s="4">
        <f t="shared" si="149"/>
        <v>81000</v>
      </c>
      <c r="R310" s="4">
        <f t="shared" si="150"/>
        <v>81000</v>
      </c>
    </row>
    <row r="311" spans="1:18" s="14" customFormat="1" ht="18" customHeight="1" x14ac:dyDescent="0.2">
      <c r="A311" s="1" t="s">
        <v>219</v>
      </c>
      <c r="B311" s="2" t="s">
        <v>128</v>
      </c>
      <c r="C311" s="2" t="s">
        <v>21</v>
      </c>
      <c r="D311" s="3" t="s">
        <v>129</v>
      </c>
      <c r="E311" s="4">
        <f t="shared" ref="E311:H311" si="182">E313+E314+E315+E316+E317+E323+E325+E326+E328+E329+E330+E333+E334+E332+E331</f>
        <v>8485200</v>
      </c>
      <c r="F311" s="4">
        <f t="shared" si="182"/>
        <v>-1402000</v>
      </c>
      <c r="G311" s="4">
        <f t="shared" si="182"/>
        <v>-1402000</v>
      </c>
      <c r="H311" s="4">
        <f t="shared" si="182"/>
        <v>0</v>
      </c>
      <c r="I311" s="4">
        <f>I313+I314+I315+I316+I317+I323+I325+I326+I328+I329+I330+I333+I334+I332+I331</f>
        <v>7083200</v>
      </c>
      <c r="J311" s="4">
        <f>SUM(J313:J334)</f>
        <v>14580500</v>
      </c>
      <c r="K311" s="4">
        <f t="shared" ref="K311:N311" si="183">SUM(K313:K334)</f>
        <v>-2600000</v>
      </c>
      <c r="L311" s="4">
        <f t="shared" si="183"/>
        <v>-2600000</v>
      </c>
      <c r="M311" s="4">
        <f t="shared" si="183"/>
        <v>0</v>
      </c>
      <c r="N311" s="4">
        <f t="shared" si="183"/>
        <v>-2600000</v>
      </c>
      <c r="O311" s="4">
        <f>SUM(O313:O334)</f>
        <v>11980500</v>
      </c>
      <c r="P311" s="4">
        <f>E311+J311</f>
        <v>23065700</v>
      </c>
      <c r="Q311" s="4">
        <f>F311+K311</f>
        <v>-4002000</v>
      </c>
      <c r="R311" s="4">
        <f>I311+O311</f>
        <v>19063700</v>
      </c>
    </row>
    <row r="312" spans="1:18" s="14" customFormat="1" ht="12" x14ac:dyDescent="0.2">
      <c r="A312" s="1"/>
      <c r="B312" s="2"/>
      <c r="C312" s="2"/>
      <c r="D312" s="3" t="s">
        <v>44</v>
      </c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>
        <f t="shared" si="148"/>
        <v>0</v>
      </c>
      <c r="Q312" s="4">
        <f t="shared" si="149"/>
        <v>0</v>
      </c>
      <c r="R312" s="4">
        <f t="shared" si="150"/>
        <v>0</v>
      </c>
    </row>
    <row r="313" spans="1:18" s="14" customFormat="1" ht="12" x14ac:dyDescent="0.2">
      <c r="A313" s="1"/>
      <c r="B313" s="2"/>
      <c r="C313" s="2"/>
      <c r="D313" s="3" t="s">
        <v>442</v>
      </c>
      <c r="E313" s="4">
        <v>3220000</v>
      </c>
      <c r="F313" s="4">
        <f t="shared" ref="F313:F323" si="184">G313</f>
        <v>0</v>
      </c>
      <c r="G313" s="4"/>
      <c r="H313" s="4"/>
      <c r="I313" s="4">
        <f t="shared" ref="I313:I334" si="185">E313+F313</f>
        <v>3220000</v>
      </c>
      <c r="J313" s="4">
        <v>500000</v>
      </c>
      <c r="K313" s="4">
        <f t="shared" ref="K313:K334" si="186">M313+N313</f>
        <v>0</v>
      </c>
      <c r="L313" s="4"/>
      <c r="M313" s="4"/>
      <c r="N313" s="4"/>
      <c r="O313" s="4">
        <f>J313+K313</f>
        <v>500000</v>
      </c>
      <c r="P313" s="4">
        <f t="shared" si="148"/>
        <v>3720000</v>
      </c>
      <c r="Q313" s="4">
        <f t="shared" si="149"/>
        <v>0</v>
      </c>
      <c r="R313" s="4">
        <f t="shared" si="150"/>
        <v>3720000</v>
      </c>
    </row>
    <row r="314" spans="1:18" s="14" customFormat="1" ht="12" x14ac:dyDescent="0.2">
      <c r="A314" s="1"/>
      <c r="B314" s="2"/>
      <c r="C314" s="2"/>
      <c r="D314" s="3" t="s">
        <v>443</v>
      </c>
      <c r="E314" s="4">
        <v>355000</v>
      </c>
      <c r="F314" s="4">
        <f t="shared" si="184"/>
        <v>0</v>
      </c>
      <c r="G314" s="4"/>
      <c r="H314" s="4"/>
      <c r="I314" s="4">
        <f t="shared" si="185"/>
        <v>355000</v>
      </c>
      <c r="J314" s="4">
        <v>580000</v>
      </c>
      <c r="K314" s="4">
        <f t="shared" si="186"/>
        <v>0</v>
      </c>
      <c r="L314" s="4"/>
      <c r="M314" s="4"/>
      <c r="N314" s="4"/>
      <c r="O314" s="4">
        <f t="shared" ref="O314:O333" si="187">J314+K314</f>
        <v>580000</v>
      </c>
      <c r="P314" s="4">
        <f t="shared" si="148"/>
        <v>935000</v>
      </c>
      <c r="Q314" s="4">
        <f t="shared" si="149"/>
        <v>0</v>
      </c>
      <c r="R314" s="4">
        <f t="shared" si="150"/>
        <v>935000</v>
      </c>
    </row>
    <row r="315" spans="1:18" s="14" customFormat="1" ht="12" x14ac:dyDescent="0.2">
      <c r="A315" s="1"/>
      <c r="B315" s="2"/>
      <c r="C315" s="2"/>
      <c r="D315" s="3" t="s">
        <v>444</v>
      </c>
      <c r="E315" s="4">
        <v>332000</v>
      </c>
      <c r="F315" s="4">
        <f t="shared" si="184"/>
        <v>0</v>
      </c>
      <c r="G315" s="4"/>
      <c r="H315" s="4"/>
      <c r="I315" s="4">
        <f t="shared" si="185"/>
        <v>332000</v>
      </c>
      <c r="J315" s="4">
        <v>500000</v>
      </c>
      <c r="K315" s="4">
        <f t="shared" si="186"/>
        <v>0</v>
      </c>
      <c r="L315" s="4"/>
      <c r="M315" s="4"/>
      <c r="N315" s="4"/>
      <c r="O315" s="4">
        <f t="shared" si="187"/>
        <v>500000</v>
      </c>
      <c r="P315" s="4">
        <f t="shared" si="148"/>
        <v>832000</v>
      </c>
      <c r="Q315" s="4">
        <f t="shared" si="149"/>
        <v>0</v>
      </c>
      <c r="R315" s="4">
        <f t="shared" si="150"/>
        <v>832000</v>
      </c>
    </row>
    <row r="316" spans="1:18" s="14" customFormat="1" ht="12" x14ac:dyDescent="0.2">
      <c r="A316" s="1"/>
      <c r="B316" s="2"/>
      <c r="C316" s="2"/>
      <c r="D316" s="3" t="s">
        <v>445</v>
      </c>
      <c r="E316" s="4">
        <v>339000</v>
      </c>
      <c r="F316" s="4">
        <f t="shared" si="184"/>
        <v>98000</v>
      </c>
      <c r="G316" s="4">
        <v>98000</v>
      </c>
      <c r="H316" s="4"/>
      <c r="I316" s="4">
        <f t="shared" si="185"/>
        <v>437000</v>
      </c>
      <c r="J316" s="4">
        <v>2580000</v>
      </c>
      <c r="K316" s="4">
        <f t="shared" si="186"/>
        <v>0</v>
      </c>
      <c r="L316" s="4"/>
      <c r="M316" s="4"/>
      <c r="N316" s="4"/>
      <c r="O316" s="4">
        <f t="shared" si="187"/>
        <v>2580000</v>
      </c>
      <c r="P316" s="4">
        <f t="shared" si="148"/>
        <v>2919000</v>
      </c>
      <c r="Q316" s="4">
        <f t="shared" si="149"/>
        <v>98000</v>
      </c>
      <c r="R316" s="4">
        <f t="shared" si="150"/>
        <v>3017000</v>
      </c>
    </row>
    <row r="317" spans="1:18" s="14" customFormat="1" ht="12" x14ac:dyDescent="0.2">
      <c r="A317" s="1"/>
      <c r="B317" s="2"/>
      <c r="C317" s="2"/>
      <c r="D317" s="3" t="s">
        <v>446</v>
      </c>
      <c r="E317" s="4">
        <v>200000</v>
      </c>
      <c r="F317" s="4">
        <f t="shared" si="184"/>
        <v>0</v>
      </c>
      <c r="G317" s="4"/>
      <c r="H317" s="4"/>
      <c r="I317" s="4">
        <f t="shared" si="185"/>
        <v>200000</v>
      </c>
      <c r="J317" s="4">
        <v>950000</v>
      </c>
      <c r="K317" s="4">
        <f t="shared" si="186"/>
        <v>0</v>
      </c>
      <c r="L317" s="4"/>
      <c r="M317" s="4"/>
      <c r="N317" s="4"/>
      <c r="O317" s="4">
        <f t="shared" si="187"/>
        <v>950000</v>
      </c>
      <c r="P317" s="4">
        <f t="shared" si="148"/>
        <v>1150000</v>
      </c>
      <c r="Q317" s="4">
        <f t="shared" si="149"/>
        <v>0</v>
      </c>
      <c r="R317" s="4">
        <f t="shared" si="150"/>
        <v>1150000</v>
      </c>
    </row>
    <row r="318" spans="1:18" s="14" customFormat="1" ht="12" x14ac:dyDescent="0.2">
      <c r="A318" s="1"/>
      <c r="B318" s="2"/>
      <c r="C318" s="2"/>
      <c r="D318" s="3" t="s">
        <v>441</v>
      </c>
      <c r="E318" s="4">
        <v>0</v>
      </c>
      <c r="F318" s="4">
        <f t="shared" si="184"/>
        <v>0</v>
      </c>
      <c r="G318" s="4"/>
      <c r="H318" s="4"/>
      <c r="I318" s="4">
        <f t="shared" si="185"/>
        <v>0</v>
      </c>
      <c r="J318" s="4">
        <v>1100000</v>
      </c>
      <c r="K318" s="4">
        <f t="shared" si="186"/>
        <v>0</v>
      </c>
      <c r="L318" s="4"/>
      <c r="M318" s="4"/>
      <c r="N318" s="4"/>
      <c r="O318" s="4">
        <f>J318+K318</f>
        <v>1100000</v>
      </c>
      <c r="P318" s="4">
        <f t="shared" si="148"/>
        <v>1100000</v>
      </c>
      <c r="Q318" s="4">
        <f t="shared" si="149"/>
        <v>0</v>
      </c>
      <c r="R318" s="4">
        <f t="shared" si="150"/>
        <v>1100000</v>
      </c>
    </row>
    <row r="319" spans="1:18" s="14" customFormat="1" ht="12" x14ac:dyDescent="0.2">
      <c r="A319" s="1"/>
      <c r="B319" s="2"/>
      <c r="C319" s="2"/>
      <c r="D319" s="3" t="s">
        <v>447</v>
      </c>
      <c r="E319" s="4">
        <v>0</v>
      </c>
      <c r="F319" s="4">
        <f t="shared" si="184"/>
        <v>0</v>
      </c>
      <c r="G319" s="4"/>
      <c r="H319" s="4"/>
      <c r="I319" s="4">
        <f t="shared" si="185"/>
        <v>0</v>
      </c>
      <c r="J319" s="4">
        <v>900000</v>
      </c>
      <c r="K319" s="4">
        <f t="shared" si="186"/>
        <v>0</v>
      </c>
      <c r="L319" s="4"/>
      <c r="M319" s="4"/>
      <c r="N319" s="4"/>
      <c r="O319" s="4">
        <f t="shared" ref="O319:O325" si="188">J319+K319</f>
        <v>900000</v>
      </c>
      <c r="P319" s="4">
        <f t="shared" ref="P319:P324" si="189">E319+J319</f>
        <v>900000</v>
      </c>
      <c r="Q319" s="4">
        <f t="shared" ref="Q319:Q324" si="190">F319+K319</f>
        <v>0</v>
      </c>
      <c r="R319" s="4">
        <f t="shared" ref="R319:R324" si="191">I319+O319</f>
        <v>900000</v>
      </c>
    </row>
    <row r="320" spans="1:18" s="14" customFormat="1" ht="12" x14ac:dyDescent="0.2">
      <c r="A320" s="1"/>
      <c r="B320" s="2"/>
      <c r="C320" s="2"/>
      <c r="D320" s="3" t="s">
        <v>547</v>
      </c>
      <c r="E320" s="4"/>
      <c r="F320" s="4"/>
      <c r="G320" s="4"/>
      <c r="H320" s="4"/>
      <c r="I320" s="4"/>
      <c r="J320" s="4">
        <v>200000</v>
      </c>
      <c r="K320" s="4">
        <f t="shared" si="186"/>
        <v>0</v>
      </c>
      <c r="L320" s="4"/>
      <c r="M320" s="4"/>
      <c r="N320" s="4"/>
      <c r="O320" s="4">
        <f t="shared" si="188"/>
        <v>200000</v>
      </c>
      <c r="P320" s="4">
        <f t="shared" si="189"/>
        <v>200000</v>
      </c>
      <c r="Q320" s="4">
        <f t="shared" si="190"/>
        <v>0</v>
      </c>
      <c r="R320" s="4">
        <f t="shared" si="191"/>
        <v>200000</v>
      </c>
    </row>
    <row r="321" spans="1:18" s="14" customFormat="1" ht="12" x14ac:dyDescent="0.2">
      <c r="A321" s="1"/>
      <c r="B321" s="2"/>
      <c r="C321" s="2"/>
      <c r="D321" s="3" t="s">
        <v>548</v>
      </c>
      <c r="E321" s="4"/>
      <c r="F321" s="4"/>
      <c r="G321" s="4"/>
      <c r="H321" s="4"/>
      <c r="I321" s="4"/>
      <c r="J321" s="4">
        <v>150000</v>
      </c>
      <c r="K321" s="4">
        <f t="shared" si="186"/>
        <v>0</v>
      </c>
      <c r="L321" s="4"/>
      <c r="M321" s="4"/>
      <c r="N321" s="4"/>
      <c r="O321" s="4">
        <f t="shared" si="188"/>
        <v>150000</v>
      </c>
      <c r="P321" s="4">
        <f t="shared" si="189"/>
        <v>150000</v>
      </c>
      <c r="Q321" s="4">
        <f t="shared" si="190"/>
        <v>0</v>
      </c>
      <c r="R321" s="4">
        <f t="shared" si="191"/>
        <v>150000</v>
      </c>
    </row>
    <row r="322" spans="1:18" s="14" customFormat="1" ht="12" x14ac:dyDescent="0.2">
      <c r="A322" s="1"/>
      <c r="B322" s="2"/>
      <c r="C322" s="2"/>
      <c r="D322" s="3" t="s">
        <v>549</v>
      </c>
      <c r="E322" s="4"/>
      <c r="F322" s="4"/>
      <c r="G322" s="4"/>
      <c r="H322" s="4"/>
      <c r="I322" s="4"/>
      <c r="J322" s="4">
        <v>120000</v>
      </c>
      <c r="K322" s="4">
        <f t="shared" si="186"/>
        <v>0</v>
      </c>
      <c r="L322" s="4"/>
      <c r="M322" s="4"/>
      <c r="N322" s="4"/>
      <c r="O322" s="4">
        <f t="shared" si="188"/>
        <v>120000</v>
      </c>
      <c r="P322" s="4">
        <f t="shared" si="189"/>
        <v>120000</v>
      </c>
      <c r="Q322" s="4">
        <f t="shared" si="190"/>
        <v>0</v>
      </c>
      <c r="R322" s="4">
        <f t="shared" si="191"/>
        <v>120000</v>
      </c>
    </row>
    <row r="323" spans="1:18" s="14" customFormat="1" ht="72" x14ac:dyDescent="0.2">
      <c r="A323" s="1"/>
      <c r="B323" s="2"/>
      <c r="C323" s="2"/>
      <c r="D323" s="3" t="s">
        <v>506</v>
      </c>
      <c r="E323" s="4">
        <v>950000</v>
      </c>
      <c r="F323" s="4">
        <f t="shared" si="184"/>
        <v>0</v>
      </c>
      <c r="G323" s="4"/>
      <c r="H323" s="4"/>
      <c r="I323" s="4">
        <f t="shared" si="185"/>
        <v>950000</v>
      </c>
      <c r="J323" s="4">
        <v>0</v>
      </c>
      <c r="K323" s="4">
        <f t="shared" si="186"/>
        <v>0</v>
      </c>
      <c r="L323" s="4"/>
      <c r="M323" s="4"/>
      <c r="N323" s="4"/>
      <c r="O323" s="4">
        <f t="shared" si="188"/>
        <v>0</v>
      </c>
      <c r="P323" s="4">
        <f t="shared" si="189"/>
        <v>950000</v>
      </c>
      <c r="Q323" s="4">
        <f t="shared" si="190"/>
        <v>0</v>
      </c>
      <c r="R323" s="4">
        <f t="shared" si="191"/>
        <v>950000</v>
      </c>
    </row>
    <row r="324" spans="1:18" s="14" customFormat="1" ht="36" x14ac:dyDescent="0.2">
      <c r="A324" s="1"/>
      <c r="B324" s="2"/>
      <c r="C324" s="2"/>
      <c r="D324" s="3" t="s">
        <v>550</v>
      </c>
      <c r="E324" s="4"/>
      <c r="F324" s="4"/>
      <c r="G324" s="4"/>
      <c r="H324" s="4"/>
      <c r="I324" s="4"/>
      <c r="J324" s="4">
        <v>1400000</v>
      </c>
      <c r="K324" s="4">
        <f t="shared" si="186"/>
        <v>0</v>
      </c>
      <c r="L324" s="4"/>
      <c r="M324" s="4"/>
      <c r="N324" s="4"/>
      <c r="O324" s="4">
        <f t="shared" si="188"/>
        <v>1400000</v>
      </c>
      <c r="P324" s="4">
        <f t="shared" si="189"/>
        <v>1400000</v>
      </c>
      <c r="Q324" s="4">
        <f t="shared" si="190"/>
        <v>0</v>
      </c>
      <c r="R324" s="4">
        <f t="shared" si="191"/>
        <v>1400000</v>
      </c>
    </row>
    <row r="325" spans="1:18" s="14" customFormat="1" ht="48" x14ac:dyDescent="0.2">
      <c r="A325" s="1"/>
      <c r="B325" s="2"/>
      <c r="C325" s="2"/>
      <c r="D325" s="31" t="s">
        <v>507</v>
      </c>
      <c r="E325" s="4">
        <v>0</v>
      </c>
      <c r="F325" s="4"/>
      <c r="G325" s="4"/>
      <c r="H325" s="4"/>
      <c r="I325" s="4">
        <f t="shared" si="185"/>
        <v>0</v>
      </c>
      <c r="J325" s="4">
        <v>820800</v>
      </c>
      <c r="K325" s="4">
        <f t="shared" si="186"/>
        <v>0</v>
      </c>
      <c r="L325" s="4"/>
      <c r="M325" s="4"/>
      <c r="N325" s="4"/>
      <c r="O325" s="4">
        <f t="shared" si="188"/>
        <v>820800</v>
      </c>
      <c r="P325" s="4">
        <f t="shared" ref="P325:P327" si="192">E325+J325</f>
        <v>820800</v>
      </c>
      <c r="Q325" s="4">
        <f t="shared" ref="Q325:Q327" si="193">F325+K325</f>
        <v>0</v>
      </c>
      <c r="R325" s="4">
        <f t="shared" ref="R325:R327" si="194">I325+O325</f>
        <v>820800</v>
      </c>
    </row>
    <row r="326" spans="1:18" s="14" customFormat="1" ht="48" x14ac:dyDescent="0.2">
      <c r="A326" s="1"/>
      <c r="B326" s="2"/>
      <c r="C326" s="2"/>
      <c r="D326" s="31" t="s">
        <v>508</v>
      </c>
      <c r="E326" s="4">
        <v>0</v>
      </c>
      <c r="F326" s="4"/>
      <c r="G326" s="4"/>
      <c r="H326" s="4"/>
      <c r="I326" s="4">
        <f t="shared" si="185"/>
        <v>0</v>
      </c>
      <c r="J326" s="4">
        <v>279700</v>
      </c>
      <c r="K326" s="4">
        <f t="shared" si="186"/>
        <v>0</v>
      </c>
      <c r="L326" s="4"/>
      <c r="M326" s="4"/>
      <c r="N326" s="4"/>
      <c r="O326" s="4">
        <f t="shared" si="187"/>
        <v>279700</v>
      </c>
      <c r="P326" s="4">
        <f t="shared" si="192"/>
        <v>279700</v>
      </c>
      <c r="Q326" s="4">
        <f t="shared" si="193"/>
        <v>0</v>
      </c>
      <c r="R326" s="4">
        <f t="shared" si="194"/>
        <v>279700</v>
      </c>
    </row>
    <row r="327" spans="1:18" s="14" customFormat="1" ht="72" x14ac:dyDescent="0.2">
      <c r="A327" s="1"/>
      <c r="B327" s="2"/>
      <c r="C327" s="2"/>
      <c r="D327" s="31" t="s">
        <v>535</v>
      </c>
      <c r="E327" s="4">
        <v>0</v>
      </c>
      <c r="F327" s="4"/>
      <c r="G327" s="4"/>
      <c r="H327" s="4"/>
      <c r="I327" s="4">
        <f t="shared" si="185"/>
        <v>0</v>
      </c>
      <c r="J327" s="4">
        <v>1200000</v>
      </c>
      <c r="K327" s="4">
        <f t="shared" si="186"/>
        <v>0</v>
      </c>
      <c r="L327" s="4"/>
      <c r="M327" s="4"/>
      <c r="N327" s="4"/>
      <c r="O327" s="4">
        <f t="shared" si="187"/>
        <v>1200000</v>
      </c>
      <c r="P327" s="4">
        <f t="shared" si="192"/>
        <v>1200000</v>
      </c>
      <c r="Q327" s="4">
        <f t="shared" si="193"/>
        <v>0</v>
      </c>
      <c r="R327" s="4">
        <f t="shared" si="194"/>
        <v>1200000</v>
      </c>
    </row>
    <row r="328" spans="1:18" s="14" customFormat="1" ht="24" x14ac:dyDescent="0.2">
      <c r="A328" s="1"/>
      <c r="B328" s="2"/>
      <c r="C328" s="2"/>
      <c r="D328" s="32" t="s">
        <v>502</v>
      </c>
      <c r="E328" s="4">
        <v>0</v>
      </c>
      <c r="F328" s="4"/>
      <c r="G328" s="4"/>
      <c r="H328" s="4"/>
      <c r="I328" s="4">
        <f t="shared" si="185"/>
        <v>0</v>
      </c>
      <c r="J328" s="4">
        <v>200000</v>
      </c>
      <c r="K328" s="4">
        <f t="shared" si="186"/>
        <v>0</v>
      </c>
      <c r="L328" s="4"/>
      <c r="M328" s="4"/>
      <c r="N328" s="4"/>
      <c r="O328" s="4">
        <f t="shared" si="187"/>
        <v>200000</v>
      </c>
      <c r="P328" s="4">
        <f t="shared" ref="P328" si="195">E328+J328</f>
        <v>200000</v>
      </c>
      <c r="Q328" s="4">
        <f t="shared" ref="Q328" si="196">F328+K328</f>
        <v>0</v>
      </c>
      <c r="R328" s="4">
        <f t="shared" ref="R328" si="197">I328+O328</f>
        <v>200000</v>
      </c>
    </row>
    <row r="329" spans="1:18" s="14" customFormat="1" ht="24" x14ac:dyDescent="0.2">
      <c r="A329" s="1"/>
      <c r="B329" s="2"/>
      <c r="C329" s="2"/>
      <c r="D329" s="3" t="s">
        <v>503</v>
      </c>
      <c r="E329" s="4">
        <v>0</v>
      </c>
      <c r="F329" s="4"/>
      <c r="G329" s="4"/>
      <c r="H329" s="4"/>
      <c r="I329" s="4">
        <f t="shared" si="185"/>
        <v>0</v>
      </c>
      <c r="J329" s="4">
        <v>3000000</v>
      </c>
      <c r="K329" s="4">
        <f t="shared" si="186"/>
        <v>-2600000</v>
      </c>
      <c r="L329" s="4">
        <f>-2600000</f>
        <v>-2600000</v>
      </c>
      <c r="M329" s="4"/>
      <c r="N329" s="4">
        <f>-2600000</f>
        <v>-2600000</v>
      </c>
      <c r="O329" s="4">
        <f t="shared" si="187"/>
        <v>400000</v>
      </c>
      <c r="P329" s="4">
        <f t="shared" ref="P329" si="198">E329+J329</f>
        <v>3000000</v>
      </c>
      <c r="Q329" s="4">
        <f t="shared" ref="Q329" si="199">F329+K329</f>
        <v>-2600000</v>
      </c>
      <c r="R329" s="4">
        <f t="shared" ref="R329" si="200">I329+O329</f>
        <v>400000</v>
      </c>
    </row>
    <row r="330" spans="1:18" s="14" customFormat="1" ht="36.75" customHeight="1" x14ac:dyDescent="0.2">
      <c r="A330" s="1"/>
      <c r="B330" s="2"/>
      <c r="C330" s="2"/>
      <c r="D330" s="3" t="s">
        <v>536</v>
      </c>
      <c r="E330" s="4">
        <v>2500000</v>
      </c>
      <c r="F330" s="4">
        <f>G330</f>
        <v>-1500000</v>
      </c>
      <c r="G330" s="4">
        <v>-1500000</v>
      </c>
      <c r="H330" s="4"/>
      <c r="I330" s="4">
        <f t="shared" si="185"/>
        <v>1000000</v>
      </c>
      <c r="J330" s="4"/>
      <c r="K330" s="4">
        <f t="shared" si="186"/>
        <v>0</v>
      </c>
      <c r="L330" s="4"/>
      <c r="M330" s="4"/>
      <c r="N330" s="4"/>
      <c r="O330" s="4"/>
      <c r="P330" s="4">
        <f t="shared" ref="P330:P332" si="201">E330+J330</f>
        <v>2500000</v>
      </c>
      <c r="Q330" s="4">
        <f t="shared" ref="Q330" si="202">F330+K330</f>
        <v>-1500000</v>
      </c>
      <c r="R330" s="4">
        <f t="shared" ref="R330" si="203">I330+O330</f>
        <v>1000000</v>
      </c>
    </row>
    <row r="331" spans="1:18" s="14" customFormat="1" ht="36.75" customHeight="1" x14ac:dyDescent="0.2">
      <c r="A331" s="1"/>
      <c r="B331" s="2"/>
      <c r="C331" s="2"/>
      <c r="D331" s="3" t="s">
        <v>557</v>
      </c>
      <c r="E331" s="4">
        <v>210000</v>
      </c>
      <c r="F331" s="4">
        <f>G331</f>
        <v>0</v>
      </c>
      <c r="G331" s="4"/>
      <c r="H331" s="4"/>
      <c r="I331" s="4">
        <f t="shared" si="185"/>
        <v>210000</v>
      </c>
      <c r="J331" s="4"/>
      <c r="K331" s="4"/>
      <c r="L331" s="4"/>
      <c r="M331" s="4"/>
      <c r="N331" s="4"/>
      <c r="O331" s="4"/>
      <c r="P331" s="4">
        <f t="shared" si="201"/>
        <v>210000</v>
      </c>
      <c r="Q331" s="4"/>
      <c r="R331" s="4"/>
    </row>
    <row r="332" spans="1:18" s="14" customFormat="1" ht="36.75" customHeight="1" x14ac:dyDescent="0.2">
      <c r="A332" s="1"/>
      <c r="B332" s="2"/>
      <c r="C332" s="2"/>
      <c r="D332" s="3" t="s">
        <v>537</v>
      </c>
      <c r="E332" s="4">
        <v>179200</v>
      </c>
      <c r="F332" s="4">
        <f>G332</f>
        <v>0</v>
      </c>
      <c r="G332" s="4"/>
      <c r="H332" s="4"/>
      <c r="I332" s="4">
        <f t="shared" si="185"/>
        <v>179200</v>
      </c>
      <c r="J332" s="4"/>
      <c r="K332" s="4">
        <f t="shared" si="186"/>
        <v>0</v>
      </c>
      <c r="L332" s="4"/>
      <c r="M332" s="4"/>
      <c r="N332" s="4"/>
      <c r="O332" s="4"/>
      <c r="P332" s="4">
        <f t="shared" si="201"/>
        <v>179200</v>
      </c>
      <c r="Q332" s="4">
        <f t="shared" ref="Q332" si="204">F332+K332</f>
        <v>0</v>
      </c>
      <c r="R332" s="4">
        <f t="shared" ref="R332" si="205">I332+O332</f>
        <v>179200</v>
      </c>
    </row>
    <row r="333" spans="1:18" s="14" customFormat="1" ht="24" x14ac:dyDescent="0.2">
      <c r="A333" s="1"/>
      <c r="B333" s="2"/>
      <c r="C333" s="2"/>
      <c r="D333" s="3" t="s">
        <v>481</v>
      </c>
      <c r="E333" s="4">
        <v>0</v>
      </c>
      <c r="F333" s="4"/>
      <c r="G333" s="4"/>
      <c r="H333" s="4"/>
      <c r="I333" s="4">
        <f t="shared" si="185"/>
        <v>0</v>
      </c>
      <c r="J333" s="4">
        <v>100000</v>
      </c>
      <c r="K333" s="4">
        <f t="shared" si="186"/>
        <v>0</v>
      </c>
      <c r="L333" s="4"/>
      <c r="M333" s="4"/>
      <c r="N333" s="4"/>
      <c r="O333" s="4">
        <f t="shared" si="187"/>
        <v>100000</v>
      </c>
      <c r="P333" s="4">
        <f t="shared" ref="P333" si="206">E333+J333</f>
        <v>100000</v>
      </c>
      <c r="Q333" s="4">
        <f t="shared" ref="Q333" si="207">F333+K333</f>
        <v>0</v>
      </c>
      <c r="R333" s="4">
        <f t="shared" ref="R333" si="208">I333+O333</f>
        <v>100000</v>
      </c>
    </row>
    <row r="334" spans="1:18" s="14" customFormat="1" ht="24" x14ac:dyDescent="0.2">
      <c r="A334" s="1"/>
      <c r="B334" s="2"/>
      <c r="C334" s="2"/>
      <c r="D334" s="3" t="s">
        <v>521</v>
      </c>
      <c r="E334" s="4">
        <v>200000</v>
      </c>
      <c r="F334" s="4">
        <f>G334</f>
        <v>0</v>
      </c>
      <c r="G334" s="4"/>
      <c r="H334" s="4"/>
      <c r="I334" s="4">
        <f t="shared" si="185"/>
        <v>200000</v>
      </c>
      <c r="J334" s="4"/>
      <c r="K334" s="4">
        <f t="shared" si="186"/>
        <v>0</v>
      </c>
      <c r="L334" s="4"/>
      <c r="M334" s="4"/>
      <c r="N334" s="4"/>
      <c r="O334" s="4"/>
      <c r="P334" s="4">
        <f t="shared" ref="P334" si="209">E334+J334</f>
        <v>200000</v>
      </c>
      <c r="Q334" s="4">
        <f t="shared" ref="Q334" si="210">F334+K334</f>
        <v>0</v>
      </c>
      <c r="R334" s="4">
        <f t="shared" ref="R334" si="211">I334+O334</f>
        <v>200000</v>
      </c>
    </row>
    <row r="335" spans="1:18" s="35" customFormat="1" ht="12.75" x14ac:dyDescent="0.2">
      <c r="A335" s="33"/>
      <c r="B335" s="105" t="s">
        <v>1</v>
      </c>
      <c r="C335" s="105"/>
      <c r="D335" s="105"/>
      <c r="E335" s="34">
        <f t="shared" ref="E335:R335" si="212">E10+E61+E103+E135+E169+E174+E211+E289+E230+E247+E260+E271+E295+E197</f>
        <v>2168538728</v>
      </c>
      <c r="F335" s="34">
        <f t="shared" si="212"/>
        <v>91299941.019999996</v>
      </c>
      <c r="G335" s="34">
        <f t="shared" si="212"/>
        <v>91299941.019999996</v>
      </c>
      <c r="H335" s="34">
        <f t="shared" si="212"/>
        <v>0</v>
      </c>
      <c r="I335" s="34">
        <f t="shared" si="212"/>
        <v>2259887669.02</v>
      </c>
      <c r="J335" s="34">
        <f t="shared" si="212"/>
        <v>849137107</v>
      </c>
      <c r="K335" s="34">
        <f t="shared" si="212"/>
        <v>-17006088</v>
      </c>
      <c r="L335" s="34">
        <f t="shared" si="212"/>
        <v>-13206088</v>
      </c>
      <c r="M335" s="34">
        <f t="shared" si="212"/>
        <v>-1373584</v>
      </c>
      <c r="N335" s="34">
        <f t="shared" si="212"/>
        <v>-15632504</v>
      </c>
      <c r="O335" s="34">
        <f t="shared" si="212"/>
        <v>832131019</v>
      </c>
      <c r="P335" s="34">
        <f t="shared" si="212"/>
        <v>3017675835</v>
      </c>
      <c r="Q335" s="34">
        <f t="shared" si="212"/>
        <v>74293853.019999996</v>
      </c>
      <c r="R335" s="34">
        <f t="shared" si="212"/>
        <v>3092018688.02</v>
      </c>
    </row>
    <row r="336" spans="1:18" s="6" customFormat="1" ht="11.25" customHeight="1" x14ac:dyDescent="0.25">
      <c r="A336" s="5"/>
      <c r="B336" s="8"/>
      <c r="C336" s="8"/>
      <c r="D336" s="36"/>
      <c r="E336" s="37"/>
      <c r="F336" s="37"/>
      <c r="G336" s="37"/>
      <c r="H336" s="37"/>
      <c r="I336" s="38"/>
      <c r="J336" s="39"/>
      <c r="K336" s="40"/>
      <c r="L336" s="41"/>
      <c r="M336" s="41"/>
      <c r="N336" s="41"/>
      <c r="O336" s="90"/>
      <c r="P336" s="5"/>
      <c r="Q336" s="5"/>
      <c r="R336" s="5"/>
    </row>
    <row r="337" spans="1:18" s="6" customFormat="1" ht="31.5" customHeight="1" x14ac:dyDescent="0.3">
      <c r="A337" s="5"/>
      <c r="B337" s="87" t="s">
        <v>565</v>
      </c>
      <c r="C337" s="88"/>
      <c r="D337" s="88"/>
      <c r="E337" s="88"/>
      <c r="F337" s="87"/>
      <c r="G337" s="88"/>
      <c r="H337" s="87"/>
      <c r="I337" s="88"/>
      <c r="J337" s="88"/>
      <c r="K337" s="88"/>
      <c r="L337" s="87" t="s">
        <v>566</v>
      </c>
      <c r="M337" s="88"/>
      <c r="N337" s="42"/>
      <c r="O337" s="42"/>
      <c r="P337" s="42"/>
      <c r="Q337" s="43"/>
      <c r="R337" s="49"/>
    </row>
    <row r="338" spans="1:18" ht="25.5" customHeight="1" x14ac:dyDescent="0.25">
      <c r="D338" s="44"/>
      <c r="E338" s="45"/>
      <c r="F338" s="46"/>
      <c r="G338" s="46"/>
      <c r="H338" s="46"/>
      <c r="I338" s="47"/>
      <c r="J338" s="47"/>
      <c r="K338" s="48"/>
      <c r="L338" s="42"/>
      <c r="M338" s="42"/>
      <c r="N338" s="42"/>
      <c r="O338" s="53"/>
      <c r="P338" s="42"/>
      <c r="R338" s="49"/>
    </row>
    <row r="339" spans="1:18" ht="12.75" x14ac:dyDescent="0.2">
      <c r="D339" s="44"/>
      <c r="E339" s="51"/>
      <c r="F339" s="51"/>
      <c r="G339" s="51"/>
      <c r="H339" s="51"/>
      <c r="I339" s="47"/>
      <c r="J339" s="47"/>
      <c r="K339" s="52"/>
      <c r="L339" s="52"/>
      <c r="M339" s="52"/>
      <c r="N339" s="52"/>
      <c r="O339" s="53"/>
      <c r="R339" s="54"/>
    </row>
    <row r="340" spans="1:18" ht="11.25" x14ac:dyDescent="0.2">
      <c r="D340" s="44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6"/>
    </row>
    <row r="341" spans="1:18" ht="11.45" customHeight="1" x14ac:dyDescent="0.2">
      <c r="D341" s="44"/>
      <c r="E341" s="46"/>
      <c r="F341" s="57"/>
      <c r="G341" s="44"/>
      <c r="H341" s="44"/>
      <c r="I341" s="55"/>
      <c r="J341" s="44"/>
      <c r="K341" s="52"/>
      <c r="L341" s="52"/>
      <c r="M341" s="52"/>
      <c r="N341" s="52"/>
      <c r="O341" s="52"/>
    </row>
    <row r="342" spans="1:18" ht="11.45" customHeight="1" x14ac:dyDescent="0.2">
      <c r="D342" s="44"/>
      <c r="E342" s="46"/>
      <c r="F342" s="57"/>
      <c r="G342" s="44"/>
      <c r="H342" s="44"/>
      <c r="I342" s="58"/>
      <c r="J342" s="44"/>
      <c r="K342" s="52"/>
      <c r="L342" s="52"/>
      <c r="M342" s="52"/>
      <c r="N342" s="52"/>
      <c r="O342" s="52"/>
    </row>
    <row r="343" spans="1:18" ht="13.5" customHeight="1" x14ac:dyDescent="0.2">
      <c r="D343" s="44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51"/>
    </row>
    <row r="344" spans="1:18" ht="23.25" customHeight="1" x14ac:dyDescent="0.2">
      <c r="D344" s="44"/>
      <c r="E344" s="44"/>
      <c r="F344" s="57"/>
      <c r="G344" s="44"/>
      <c r="H344" s="44"/>
      <c r="I344" s="44"/>
      <c r="J344" s="44"/>
      <c r="L344" s="60"/>
      <c r="N344" s="61"/>
    </row>
    <row r="345" spans="1:18" ht="11.45" customHeight="1" x14ac:dyDescent="0.2">
      <c r="D345" s="44"/>
      <c r="E345" s="44"/>
      <c r="F345" s="44"/>
      <c r="G345" s="44"/>
      <c r="H345" s="44"/>
      <c r="I345" s="44"/>
      <c r="J345" s="44"/>
    </row>
    <row r="346" spans="1:18" ht="11.45" customHeight="1" x14ac:dyDescent="0.2">
      <c r="D346" s="44"/>
      <c r="E346" s="44"/>
      <c r="F346" s="44"/>
      <c r="G346" s="44"/>
      <c r="H346" s="44"/>
      <c r="I346" s="44"/>
      <c r="J346" s="44"/>
    </row>
    <row r="347" spans="1:18" ht="11.45" customHeight="1" x14ac:dyDescent="0.2">
      <c r="D347" s="44"/>
      <c r="E347" s="47"/>
      <c r="F347" s="55"/>
      <c r="G347" s="44"/>
      <c r="H347" s="44"/>
      <c r="I347" s="44"/>
      <c r="J347" s="47"/>
    </row>
    <row r="348" spans="1:18" ht="11.45" customHeight="1" x14ac:dyDescent="0.2">
      <c r="D348" s="44"/>
      <c r="E348" s="44"/>
      <c r="F348" s="44"/>
      <c r="G348" s="44"/>
      <c r="H348" s="44"/>
      <c r="I348" s="44"/>
      <c r="J348" s="44"/>
      <c r="N348" s="61"/>
    </row>
    <row r="349" spans="1:18" ht="11.45" customHeight="1" x14ac:dyDescent="0.2">
      <c r="D349" s="44"/>
      <c r="E349" s="47"/>
      <c r="F349" s="44"/>
      <c r="G349" s="44"/>
      <c r="H349" s="44"/>
      <c r="I349" s="44"/>
      <c r="J349" s="44"/>
      <c r="P349" s="43"/>
    </row>
    <row r="350" spans="1:18" ht="11.45" customHeight="1" x14ac:dyDescent="0.2">
      <c r="D350" s="44"/>
      <c r="E350" s="44"/>
      <c r="F350" s="44"/>
      <c r="G350" s="44"/>
      <c r="H350" s="44"/>
      <c r="I350" s="44"/>
      <c r="J350" s="44"/>
    </row>
    <row r="351" spans="1:18" ht="11.45" customHeight="1" x14ac:dyDescent="0.2">
      <c r="D351" s="44"/>
      <c r="E351" s="44"/>
      <c r="F351" s="47"/>
      <c r="G351" s="44"/>
      <c r="H351" s="44"/>
      <c r="I351" s="44"/>
      <c r="J351" s="44"/>
    </row>
    <row r="352" spans="1:18" ht="11.45" customHeight="1" x14ac:dyDescent="0.2">
      <c r="D352" s="44"/>
      <c r="E352" s="44"/>
      <c r="F352" s="44"/>
      <c r="G352" s="44"/>
      <c r="H352" s="44"/>
      <c r="I352" s="44"/>
      <c r="J352" s="44"/>
      <c r="L352" s="62"/>
    </row>
    <row r="353" spans="4:10" ht="11.45" customHeight="1" x14ac:dyDescent="0.2">
      <c r="D353" s="44"/>
      <c r="E353" s="44"/>
      <c r="F353" s="44"/>
      <c r="G353" s="47"/>
      <c r="H353" s="44"/>
      <c r="I353" s="44"/>
      <c r="J353" s="44"/>
    </row>
    <row r="354" spans="4:10" ht="11.45" customHeight="1" x14ac:dyDescent="0.2">
      <c r="D354" s="44"/>
      <c r="E354" s="44"/>
      <c r="F354" s="44"/>
      <c r="G354" s="44"/>
      <c r="H354" s="44"/>
      <c r="I354" s="44"/>
      <c r="J354" s="44"/>
    </row>
    <row r="355" spans="4:10" ht="11.45" customHeight="1" x14ac:dyDescent="0.2">
      <c r="D355" s="44"/>
      <c r="E355" s="44"/>
      <c r="F355" s="47"/>
      <c r="G355" s="44"/>
      <c r="H355" s="44"/>
      <c r="I355" s="44"/>
      <c r="J355" s="44"/>
    </row>
    <row r="356" spans="4:10" ht="11.45" customHeight="1" x14ac:dyDescent="0.2">
      <c r="D356" s="44"/>
      <c r="E356" s="44"/>
      <c r="F356" s="44"/>
      <c r="G356" s="44"/>
      <c r="H356" s="44"/>
      <c r="I356" s="44"/>
      <c r="J356" s="44"/>
    </row>
    <row r="357" spans="4:10" ht="11.45" customHeight="1" x14ac:dyDescent="0.2">
      <c r="D357" s="44"/>
      <c r="E357" s="44"/>
      <c r="F357" s="44"/>
      <c r="G357" s="44"/>
      <c r="H357" s="44"/>
      <c r="I357" s="44"/>
      <c r="J357" s="44"/>
    </row>
    <row r="360" spans="4:10" ht="11.45" customHeight="1" x14ac:dyDescent="0.2">
      <c r="G360" s="62"/>
      <c r="H360" s="62"/>
    </row>
    <row r="361" spans="4:10" ht="11.45" customHeight="1" x14ac:dyDescent="0.2">
      <c r="G361" s="62"/>
    </row>
    <row r="364" spans="4:10" ht="11.45" customHeight="1" x14ac:dyDescent="0.2">
      <c r="E364" s="62"/>
      <c r="F364" s="62"/>
      <c r="G364" s="62"/>
      <c r="H364" s="62"/>
    </row>
  </sheetData>
  <mergeCells count="27">
    <mergeCell ref="P6:R8"/>
    <mergeCell ref="P4:Q4"/>
    <mergeCell ref="B335:D335"/>
    <mergeCell ref="G8:G9"/>
    <mergeCell ref="H8:H9"/>
    <mergeCell ref="M8:M9"/>
    <mergeCell ref="N8:N9"/>
    <mergeCell ref="E7:E9"/>
    <mergeCell ref="J7:J9"/>
    <mergeCell ref="J6:O6"/>
    <mergeCell ref="F7:G7"/>
    <mergeCell ref="F8:F9"/>
    <mergeCell ref="K7:N7"/>
    <mergeCell ref="K8:K9"/>
    <mergeCell ref="L8:L9"/>
    <mergeCell ref="B1:N1"/>
    <mergeCell ref="B2:N2"/>
    <mergeCell ref="O7:O9"/>
    <mergeCell ref="N4:O4"/>
    <mergeCell ref="A5:B5"/>
    <mergeCell ref="A6:A9"/>
    <mergeCell ref="B6:B9"/>
    <mergeCell ref="D6:D9"/>
    <mergeCell ref="I7:I9"/>
    <mergeCell ref="C6:C9"/>
    <mergeCell ref="E6:I6"/>
    <mergeCell ref="C5:D5"/>
  </mergeCells>
  <phoneticPr fontId="5" type="noConversion"/>
  <pageMargins left="0.19685039370078741" right="0.19685039370078741" top="1.3779527559055118" bottom="0.19685039370078741" header="0.31496062992125984" footer="0.31496062992125984"/>
  <pageSetup paperSize="9" scale="55" fitToHeight="30" orientation="landscape" r:id="rId1"/>
  <ignoredErrors>
    <ignoredError sqref="I61" formula="1"/>
    <ignoredError sqref="C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Motruk</dc:creator>
  <cp:lastModifiedBy>Admin</cp:lastModifiedBy>
  <cp:lastPrinted>2020-12-21T19:45:36Z</cp:lastPrinted>
  <dcterms:created xsi:type="dcterms:W3CDTF">2016-12-02T14:24:23Z</dcterms:created>
  <dcterms:modified xsi:type="dcterms:W3CDTF">2021-01-04T07:29:33Z</dcterms:modified>
</cp:coreProperties>
</file>