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иноверська\2020\УТОЧНЕННЯ ГРУДЕНЬ\"/>
    </mc:Choice>
  </mc:AlternateContent>
  <bookViews>
    <workbookView xWindow="0" yWindow="0" windowWidth="28800" windowHeight="12330"/>
  </bookViews>
  <sheets>
    <sheet name="27.10.2020" sheetId="4" r:id="rId1"/>
  </sheets>
  <definedNames>
    <definedName name="_xlnm.Print_Titles" localSheetId="0">'27.10.2020'!$7:$7</definedName>
    <definedName name="_xlnm.Print_Area" localSheetId="0">'27.10.2020'!$A$1:$H$614</definedName>
  </definedNames>
  <calcPr calcId="162913" refMode="R1C1"/>
</workbook>
</file>

<file path=xl/calcChain.xml><?xml version="1.0" encoding="utf-8"?>
<calcChain xmlns="http://schemas.openxmlformats.org/spreadsheetml/2006/main">
  <c r="G419" i="4" l="1"/>
  <c r="G387" i="4" l="1"/>
  <c r="G421" i="4"/>
  <c r="G415" i="4"/>
  <c r="G410" i="4"/>
  <c r="G382" i="4"/>
  <c r="G385" i="4"/>
  <c r="G395" i="4"/>
  <c r="G402" i="4"/>
  <c r="G393" i="4"/>
  <c r="G399" i="4"/>
  <c r="G434" i="4"/>
  <c r="G366" i="4"/>
  <c r="G362" i="4"/>
  <c r="G363" i="4"/>
  <c r="G361" i="4"/>
  <c r="G364" i="4"/>
  <c r="G372" i="4"/>
  <c r="G368" i="4"/>
  <c r="G358" i="4"/>
  <c r="G340" i="4"/>
  <c r="G348" i="4"/>
  <c r="G336" i="4"/>
  <c r="G346" i="4"/>
  <c r="G335" i="4"/>
  <c r="G337" i="4"/>
  <c r="G345" i="4"/>
  <c r="G265" i="4"/>
  <c r="G259" i="4"/>
  <c r="G255" i="4"/>
  <c r="G248" i="4"/>
  <c r="G243" i="4"/>
  <c r="G218" i="4"/>
  <c r="G146" i="4" l="1"/>
  <c r="G97" i="4"/>
  <c r="G87" i="4"/>
  <c r="G62" i="4"/>
  <c r="G68" i="4"/>
  <c r="G16" i="4"/>
  <c r="F435" i="4"/>
  <c r="G559" i="4"/>
  <c r="G520" i="4"/>
  <c r="G485" i="4"/>
  <c r="G481" i="4"/>
  <c r="G460" i="4"/>
  <c r="H460" i="4" s="1"/>
  <c r="G440" i="4"/>
  <c r="G435" i="4" s="1"/>
  <c r="G397" i="4"/>
  <c r="G374" i="4"/>
  <c r="G352" i="4"/>
  <c r="G605" i="4"/>
  <c r="F605" i="4"/>
  <c r="H606" i="4"/>
  <c r="G583" i="4"/>
  <c r="G367" i="4" l="1"/>
  <c r="F281" i="4" l="1"/>
  <c r="F277" i="4"/>
  <c r="G138" i="4" l="1"/>
  <c r="G86" i="4"/>
  <c r="G85" i="4"/>
  <c r="G89" i="4"/>
  <c r="G77" i="4"/>
  <c r="H77" i="4" s="1"/>
  <c r="G25" i="4"/>
  <c r="H25" i="4" s="1"/>
  <c r="G157" i="4"/>
  <c r="H157" i="4" s="1"/>
  <c r="G489" i="4"/>
  <c r="G487" i="4"/>
  <c r="G557" i="4"/>
  <c r="G540" i="4"/>
  <c r="F529" i="4"/>
  <c r="G532" i="4"/>
  <c r="H532" i="4" s="1"/>
  <c r="G531" i="4"/>
  <c r="H531" i="4" s="1"/>
  <c r="G528" i="4"/>
  <c r="G524" i="4"/>
  <c r="G511" i="4"/>
  <c r="G515" i="4"/>
  <c r="G506" i="4"/>
  <c r="G504" i="4"/>
  <c r="G477" i="4"/>
  <c r="G474" i="4"/>
  <c r="G471" i="4"/>
  <c r="G384" i="4"/>
  <c r="G389" i="4"/>
  <c r="G405" i="4"/>
  <c r="G383" i="4"/>
  <c r="G394" i="4"/>
  <c r="G411" i="4"/>
  <c r="G391" i="4"/>
  <c r="G417" i="4"/>
  <c r="G371" i="4"/>
  <c r="G373" i="4"/>
  <c r="G356" i="4"/>
  <c r="G354" i="4"/>
  <c r="G341" i="4"/>
  <c r="G350" i="4"/>
  <c r="G328" i="4"/>
  <c r="G330" i="4"/>
  <c r="G329" i="4"/>
  <c r="G332" i="4"/>
  <c r="G326" i="4"/>
  <c r="G315" i="4"/>
  <c r="H315" i="4" s="1"/>
  <c r="G296" i="4"/>
  <c r="G275" i="4"/>
  <c r="F279" i="4"/>
  <c r="G279" i="4"/>
  <c r="G24" i="4" l="1"/>
  <c r="G529" i="4"/>
  <c r="H281" i="4"/>
  <c r="H277" i="4"/>
  <c r="G278" i="4"/>
  <c r="G271" i="4"/>
  <c r="G263" i="4"/>
  <c r="G256" i="4"/>
  <c r="G250" i="4"/>
  <c r="G237" i="4"/>
  <c r="G229" i="4"/>
  <c r="G602" i="4"/>
  <c r="H602" i="4" s="1"/>
  <c r="F601" i="4"/>
  <c r="G601" i="4" l="1"/>
  <c r="H601" i="4" s="1"/>
  <c r="G235" i="4"/>
  <c r="H237" i="4"/>
  <c r="F594" i="4"/>
  <c r="F584" i="4"/>
  <c r="F583" i="4"/>
  <c r="F578" i="4"/>
  <c r="F571" i="4"/>
  <c r="F354" i="4"/>
  <c r="F201" i="4"/>
  <c r="F185" i="4"/>
  <c r="F179" i="4"/>
  <c r="F123" i="4"/>
  <c r="F110" i="4"/>
  <c r="F106" i="4"/>
  <c r="F52" i="4"/>
  <c r="F36" i="4"/>
  <c r="F12" i="4"/>
  <c r="H349" i="4" l="1"/>
  <c r="H97" i="4"/>
  <c r="G151" i="4" l="1"/>
  <c r="H153" i="4"/>
  <c r="H571" i="4"/>
  <c r="H554" i="4"/>
  <c r="F581" i="4"/>
  <c r="H584" i="4"/>
  <c r="G581" i="4" l="1"/>
  <c r="H583" i="4"/>
  <c r="F498" i="4" l="1"/>
  <c r="G199" i="4"/>
  <c r="F183" i="4"/>
  <c r="G183" i="4"/>
  <c r="H156" i="4"/>
  <c r="H145" i="4"/>
  <c r="H144" i="4"/>
  <c r="H133" i="4"/>
  <c r="H123" i="4"/>
  <c r="F122" i="4"/>
  <c r="H110" i="4"/>
  <c r="F109" i="4"/>
  <c r="H106" i="4"/>
  <c r="H91" i="4"/>
  <c r="H94" i="4"/>
  <c r="H78" i="4"/>
  <c r="F51" i="4"/>
  <c r="F49" i="4" s="1"/>
  <c r="G51" i="4"/>
  <c r="G49" i="4" s="1"/>
  <c r="H52" i="4"/>
  <c r="H50" i="4"/>
  <c r="G35" i="4"/>
  <c r="H36" i="4"/>
  <c r="F35" i="4"/>
  <c r="F11" i="4"/>
  <c r="F9" i="4" s="1"/>
  <c r="H12" i="4"/>
  <c r="H10" i="4"/>
  <c r="H555" i="4"/>
  <c r="H556" i="4"/>
  <c r="H553" i="4"/>
  <c r="H500" i="4"/>
  <c r="H455" i="4"/>
  <c r="H451" i="4"/>
  <c r="H450" i="4"/>
  <c r="H423" i="4"/>
  <c r="H354" i="4"/>
  <c r="F353" i="4"/>
  <c r="H220" i="4"/>
  <c r="H332" i="4"/>
  <c r="H594" i="4"/>
  <c r="F593" i="4"/>
  <c r="H578" i="4"/>
  <c r="G577" i="4"/>
  <c r="F577" i="4"/>
  <c r="F247" i="4"/>
  <c r="F242" i="4"/>
  <c r="G498" i="4" l="1"/>
  <c r="H201" i="4"/>
  <c r="H185" i="4"/>
  <c r="G99" i="4"/>
  <c r="G141" i="4"/>
  <c r="G139" i="4" s="1"/>
  <c r="G109" i="4"/>
  <c r="H109" i="4" s="1"/>
  <c r="G122" i="4"/>
  <c r="H122" i="4" s="1"/>
  <c r="H143" i="4"/>
  <c r="H51" i="4"/>
  <c r="H49" i="4"/>
  <c r="H35" i="4"/>
  <c r="G11" i="4"/>
  <c r="G9" i="4" s="1"/>
  <c r="H577" i="4"/>
  <c r="G353" i="4"/>
  <c r="H353" i="4" s="1"/>
  <c r="G593" i="4"/>
  <c r="H593" i="4" s="1"/>
  <c r="G380" i="4"/>
  <c r="H418" i="4"/>
  <c r="H419" i="4"/>
  <c r="H11" i="4" l="1"/>
  <c r="G599" i="4"/>
  <c r="F599" i="4"/>
  <c r="H596" i="4"/>
  <c r="H598" i="4"/>
  <c r="H600" i="4"/>
  <c r="G597" i="4"/>
  <c r="F597" i="4"/>
  <c r="F595" i="4" s="1"/>
  <c r="H146" i="4"/>
  <c r="G131" i="4"/>
  <c r="F131" i="4"/>
  <c r="H134" i="4"/>
  <c r="G127" i="4"/>
  <c r="F127" i="4"/>
  <c r="H128" i="4"/>
  <c r="H202" i="4"/>
  <c r="H203" i="4"/>
  <c r="H204" i="4"/>
  <c r="H205" i="4"/>
  <c r="H206" i="4"/>
  <c r="H207" i="4"/>
  <c r="H208" i="4"/>
  <c r="H209" i="4"/>
  <c r="H210" i="4"/>
  <c r="H211" i="4"/>
  <c r="H212" i="4"/>
  <c r="H104" i="4"/>
  <c r="H105" i="4"/>
  <c r="H90" i="4"/>
  <c r="H76" i="4"/>
  <c r="H64" i="4"/>
  <c r="G181" i="4"/>
  <c r="F181" i="4"/>
  <c r="H182" i="4"/>
  <c r="H184" i="4"/>
  <c r="H179" i="4"/>
  <c r="H180" i="4"/>
  <c r="G170" i="4"/>
  <c r="H172" i="4"/>
  <c r="G165" i="4"/>
  <c r="H167" i="4"/>
  <c r="F154" i="4"/>
  <c r="H159" i="4"/>
  <c r="H559" i="4"/>
  <c r="G535" i="4"/>
  <c r="G533" i="4" s="1"/>
  <c r="F535" i="4"/>
  <c r="F533" i="4" s="1"/>
  <c r="H534" i="4"/>
  <c r="H536" i="4"/>
  <c r="G501" i="4"/>
  <c r="F501" i="4"/>
  <c r="H502" i="4"/>
  <c r="H499" i="4"/>
  <c r="H426" i="4"/>
  <c r="H425" i="4"/>
  <c r="H427" i="4"/>
  <c r="H424" i="4"/>
  <c r="H388" i="4"/>
  <c r="F380" i="4"/>
  <c r="H379" i="4"/>
  <c r="G378" i="4"/>
  <c r="F378" i="4"/>
  <c r="H311" i="4"/>
  <c r="G309" i="4"/>
  <c r="H307" i="4"/>
  <c r="G306" i="4"/>
  <c r="F306" i="4"/>
  <c r="H239" i="4"/>
  <c r="G238" i="4"/>
  <c r="F238" i="4"/>
  <c r="H231" i="4"/>
  <c r="G230" i="4"/>
  <c r="G217" i="4"/>
  <c r="H221" i="4"/>
  <c r="H582" i="4"/>
  <c r="H484" i="4"/>
  <c r="G595" i="4" l="1"/>
  <c r="H595" i="4" s="1"/>
  <c r="H597" i="4"/>
  <c r="H599" i="4"/>
  <c r="H181" i="4"/>
  <c r="H127" i="4"/>
  <c r="H238" i="4"/>
  <c r="H378" i="4"/>
  <c r="H501" i="4"/>
  <c r="H183" i="4"/>
  <c r="H533" i="4"/>
  <c r="H535" i="4"/>
  <c r="H498" i="4"/>
  <c r="H581" i="4"/>
  <c r="F609" i="4"/>
  <c r="F608" i="4"/>
  <c r="F592" i="4"/>
  <c r="F528" i="4"/>
  <c r="F497" i="4"/>
  <c r="H494" i="4"/>
  <c r="F492" i="4"/>
  <c r="F318" i="4"/>
  <c r="F312" i="4"/>
  <c r="F310" i="4"/>
  <c r="F292" i="4"/>
  <c r="F287" i="4"/>
  <c r="F285" i="4"/>
  <c r="F236" i="4"/>
  <c r="F235" i="4" s="1"/>
  <c r="H234" i="4"/>
  <c r="F200" i="4"/>
  <c r="F199" i="4" s="1"/>
  <c r="F198" i="4"/>
  <c r="F196" i="4"/>
  <c r="F194" i="4"/>
  <c r="H194" i="4" s="1"/>
  <c r="F190" i="4"/>
  <c r="F178" i="4"/>
  <c r="F177" i="4"/>
  <c r="F176" i="4"/>
  <c r="F171" i="4"/>
  <c r="F165" i="4"/>
  <c r="F162" i="4"/>
  <c r="F151" i="4"/>
  <c r="F141" i="4"/>
  <c r="F139" i="4" s="1"/>
  <c r="F136" i="4"/>
  <c r="F126" i="4"/>
  <c r="F121" i="4"/>
  <c r="F108" i="4"/>
  <c r="F103" i="4"/>
  <c r="F101" i="4"/>
  <c r="F58" i="4"/>
  <c r="F57" i="4"/>
  <c r="F56" i="4"/>
  <c r="F48" i="4"/>
  <c r="F46" i="4"/>
  <c r="F44" i="4"/>
  <c r="F42" i="4"/>
  <c r="F38" i="4"/>
  <c r="F34" i="4"/>
  <c r="F32" i="4"/>
  <c r="F28" i="4"/>
  <c r="F26" i="4"/>
  <c r="F24" i="4" s="1"/>
  <c r="F23" i="4"/>
  <c r="F99" i="4" l="1"/>
  <c r="F230" i="4"/>
  <c r="F170" i="4"/>
  <c r="H171" i="4"/>
  <c r="F309" i="4"/>
  <c r="F569" i="4"/>
  <c r="H560" i="4" l="1"/>
  <c r="H561" i="4"/>
  <c r="H576" i="4" l="1"/>
  <c r="H575" i="4"/>
  <c r="H574" i="4"/>
  <c r="H573" i="4"/>
  <c r="G569" i="4" l="1"/>
  <c r="H572" i="4"/>
  <c r="H609" i="4"/>
  <c r="F607" i="4"/>
  <c r="F603" i="4" s="1"/>
  <c r="H591" i="4"/>
  <c r="H590" i="4"/>
  <c r="H589" i="4"/>
  <c r="H588" i="4"/>
  <c r="H587" i="4"/>
  <c r="H586" i="4"/>
  <c r="F585" i="4"/>
  <c r="F579" i="4" s="1"/>
  <c r="H570" i="4"/>
  <c r="H568" i="4"/>
  <c r="G567" i="4"/>
  <c r="F567" i="4"/>
  <c r="F565" i="4" s="1"/>
  <c r="H566" i="4"/>
  <c r="H562" i="4"/>
  <c r="H558" i="4"/>
  <c r="H557" i="4"/>
  <c r="H552" i="4"/>
  <c r="H551" i="4"/>
  <c r="H550" i="4"/>
  <c r="H549" i="4"/>
  <c r="H548" i="4"/>
  <c r="H547" i="4"/>
  <c r="H546" i="4"/>
  <c r="H544" i="4"/>
  <c r="F543" i="4"/>
  <c r="H542" i="4"/>
  <c r="G541" i="4"/>
  <c r="F541" i="4"/>
  <c r="F539" i="4"/>
  <c r="H538" i="4"/>
  <c r="H530" i="4"/>
  <c r="H529" i="4"/>
  <c r="F527" i="4"/>
  <c r="F525" i="4" s="1"/>
  <c r="H526" i="4"/>
  <c r="F523" i="4"/>
  <c r="F521" i="4"/>
  <c r="F519" i="4"/>
  <c r="F517" i="4"/>
  <c r="H516" i="4"/>
  <c r="H515" i="4"/>
  <c r="H514" i="4"/>
  <c r="H513" i="4"/>
  <c r="H512" i="4"/>
  <c r="H511" i="4"/>
  <c r="H510" i="4"/>
  <c r="F509" i="4"/>
  <c r="H508" i="4"/>
  <c r="H506" i="4"/>
  <c r="G505" i="4"/>
  <c r="F505" i="4"/>
  <c r="H504" i="4"/>
  <c r="F503" i="4"/>
  <c r="F496" i="4"/>
  <c r="H493" i="4"/>
  <c r="H491" i="4"/>
  <c r="H489" i="4"/>
  <c r="H488" i="4"/>
  <c r="F486" i="4"/>
  <c r="H485" i="4"/>
  <c r="H483" i="4"/>
  <c r="F482" i="4"/>
  <c r="H481" i="4"/>
  <c r="H480" i="4"/>
  <c r="F479" i="4"/>
  <c r="H478" i="4"/>
  <c r="F476" i="4"/>
  <c r="H475" i="4"/>
  <c r="H474" i="4"/>
  <c r="H471" i="4"/>
  <c r="H468" i="4"/>
  <c r="H467" i="4"/>
  <c r="H466" i="4"/>
  <c r="H465" i="4"/>
  <c r="H464" i="4"/>
  <c r="H463" i="4"/>
  <c r="H459" i="4"/>
  <c r="H457" i="4"/>
  <c r="H456" i="4"/>
  <c r="H454" i="4"/>
  <c r="H453" i="4"/>
  <c r="H452" i="4"/>
  <c r="H449" i="4"/>
  <c r="H448" i="4"/>
  <c r="H447" i="4"/>
  <c r="H446" i="4"/>
  <c r="H444" i="4"/>
  <c r="H443" i="4"/>
  <c r="H442" i="4"/>
  <c r="H441" i="4"/>
  <c r="H440" i="4"/>
  <c r="H439" i="4"/>
  <c r="H438" i="4"/>
  <c r="H437" i="4"/>
  <c r="H434" i="4"/>
  <c r="H432" i="4"/>
  <c r="H431" i="4"/>
  <c r="H430" i="4"/>
  <c r="H429" i="4"/>
  <c r="H428" i="4"/>
  <c r="H422" i="4"/>
  <c r="H421" i="4"/>
  <c r="H420" i="4"/>
  <c r="H417" i="4"/>
  <c r="H416" i="4"/>
  <c r="H415" i="4"/>
  <c r="H414" i="4"/>
  <c r="H413" i="4"/>
  <c r="H412" i="4"/>
  <c r="H411" i="4"/>
  <c r="H410" i="4"/>
  <c r="H409" i="4"/>
  <c r="H408" i="4"/>
  <c r="H407" i="4"/>
  <c r="H406" i="4"/>
  <c r="H405" i="4"/>
  <c r="H404" i="4"/>
  <c r="H403" i="4"/>
  <c r="H402" i="4"/>
  <c r="H401" i="4"/>
  <c r="H400" i="4"/>
  <c r="H399" i="4"/>
  <c r="H398" i="4"/>
  <c r="H397" i="4"/>
  <c r="H396" i="4"/>
  <c r="H394" i="4"/>
  <c r="H393" i="4"/>
  <c r="H392" i="4"/>
  <c r="H391" i="4"/>
  <c r="H390" i="4"/>
  <c r="H389" i="4"/>
  <c r="H395" i="4"/>
  <c r="H387" i="4"/>
  <c r="H384" i="4"/>
  <c r="H383" i="4"/>
  <c r="H382" i="4"/>
  <c r="H381" i="4"/>
  <c r="H377" i="4"/>
  <c r="H375" i="4"/>
  <c r="H374" i="4"/>
  <c r="H373" i="4"/>
  <c r="H372" i="4"/>
  <c r="H371" i="4"/>
  <c r="H370" i="4"/>
  <c r="H369" i="4"/>
  <c r="H368" i="4"/>
  <c r="H367" i="4"/>
  <c r="H366" i="4"/>
  <c r="H365" i="4"/>
  <c r="H364" i="4"/>
  <c r="H363" i="4"/>
  <c r="H362" i="4"/>
  <c r="H361" i="4"/>
  <c r="F360" i="4"/>
  <c r="H359" i="4"/>
  <c r="H358" i="4"/>
  <c r="H357" i="4"/>
  <c r="F355" i="4"/>
  <c r="H352" i="4"/>
  <c r="H351" i="4"/>
  <c r="H350" i="4"/>
  <c r="H348" i="4"/>
  <c r="H347" i="4"/>
  <c r="H346" i="4"/>
  <c r="H345" i="4"/>
  <c r="H344" i="4"/>
  <c r="H343" i="4"/>
  <c r="H342" i="4"/>
  <c r="H341" i="4"/>
  <c r="H340" i="4"/>
  <c r="H339" i="4"/>
  <c r="H338" i="4"/>
  <c r="H337" i="4"/>
  <c r="H336" i="4"/>
  <c r="H335" i="4"/>
  <c r="F334" i="4"/>
  <c r="H333" i="4"/>
  <c r="H331" i="4"/>
  <c r="H330" i="4"/>
  <c r="H329" i="4"/>
  <c r="F327" i="4"/>
  <c r="H326" i="4"/>
  <c r="G325" i="4"/>
  <c r="F325" i="4"/>
  <c r="H324" i="4"/>
  <c r="F321" i="4"/>
  <c r="F319" i="4" s="1"/>
  <c r="H320" i="4"/>
  <c r="G317" i="4"/>
  <c r="F317" i="4"/>
  <c r="H316" i="4"/>
  <c r="H314" i="4"/>
  <c r="F313" i="4"/>
  <c r="H312" i="4"/>
  <c r="H310" i="4"/>
  <c r="H308" i="4"/>
  <c r="H305" i="4"/>
  <c r="G304" i="4"/>
  <c r="F304" i="4"/>
  <c r="H303" i="4"/>
  <c r="F300" i="4"/>
  <c r="G300" i="4"/>
  <c r="G298" i="4" s="1"/>
  <c r="H299" i="4"/>
  <c r="H297" i="4"/>
  <c r="F295" i="4"/>
  <c r="H294" i="4"/>
  <c r="G293" i="4"/>
  <c r="F293" i="4"/>
  <c r="H292" i="4"/>
  <c r="H291" i="4"/>
  <c r="F290" i="4"/>
  <c r="H289" i="4"/>
  <c r="H287" i="4"/>
  <c r="G284" i="4"/>
  <c r="F284" i="4"/>
  <c r="G282" i="4"/>
  <c r="F282" i="4"/>
  <c r="H278" i="4"/>
  <c r="H276" i="4"/>
  <c r="F274" i="4"/>
  <c r="H273" i="4"/>
  <c r="F270" i="4"/>
  <c r="H269" i="4"/>
  <c r="H268" i="4"/>
  <c r="F267" i="4"/>
  <c r="H266" i="4"/>
  <c r="H265" i="4"/>
  <c r="F264" i="4"/>
  <c r="H263" i="4"/>
  <c r="G262" i="4"/>
  <c r="F262" i="4"/>
  <c r="H261" i="4"/>
  <c r="G260" i="4"/>
  <c r="F260" i="4"/>
  <c r="H259" i="4"/>
  <c r="G258" i="4"/>
  <c r="F258" i="4"/>
  <c r="H257" i="4"/>
  <c r="H255" i="4"/>
  <c r="F254" i="4"/>
  <c r="H253" i="4"/>
  <c r="F252" i="4"/>
  <c r="H251" i="4"/>
  <c r="H250" i="4"/>
  <c r="H249" i="4"/>
  <c r="H246" i="4"/>
  <c r="H245" i="4"/>
  <c r="H244" i="4"/>
  <c r="H241" i="4"/>
  <c r="H233" i="4"/>
  <c r="G228" i="4"/>
  <c r="F228" i="4"/>
  <c r="H227" i="4"/>
  <c r="H226" i="4"/>
  <c r="H225" i="4"/>
  <c r="F224" i="4"/>
  <c r="H223" i="4"/>
  <c r="H222" i="4"/>
  <c r="H219" i="4"/>
  <c r="H218" i="4"/>
  <c r="F217" i="4"/>
  <c r="H216" i="4"/>
  <c r="F197" i="4"/>
  <c r="G195" i="4"/>
  <c r="F195" i="4"/>
  <c r="F191" i="4"/>
  <c r="F188" i="4" s="1"/>
  <c r="G188" i="4"/>
  <c r="H189" i="4"/>
  <c r="H178" i="4"/>
  <c r="H177" i="4"/>
  <c r="H176" i="4"/>
  <c r="H174" i="4"/>
  <c r="F169" i="4"/>
  <c r="F168" i="4" s="1"/>
  <c r="F163" i="4" s="1"/>
  <c r="G168" i="4"/>
  <c r="H164" i="4"/>
  <c r="G161" i="4"/>
  <c r="F161" i="4"/>
  <c r="H160" i="4"/>
  <c r="H158" i="4"/>
  <c r="H150" i="4"/>
  <c r="H142" i="4"/>
  <c r="H138" i="4"/>
  <c r="G137" i="4"/>
  <c r="F137" i="4"/>
  <c r="F135" i="4"/>
  <c r="H132" i="4"/>
  <c r="H126" i="4"/>
  <c r="F124" i="4"/>
  <c r="G120" i="4"/>
  <c r="F120" i="4"/>
  <c r="G116" i="4"/>
  <c r="F116" i="4"/>
  <c r="H115" i="4"/>
  <c r="G114" i="4"/>
  <c r="F114" i="4"/>
  <c r="H113" i="4"/>
  <c r="F111" i="4"/>
  <c r="H108" i="4"/>
  <c r="G107" i="4"/>
  <c r="F107" i="4"/>
  <c r="H103" i="4"/>
  <c r="H98" i="4"/>
  <c r="H96" i="4"/>
  <c r="H93" i="4"/>
  <c r="H89" i="4"/>
  <c r="H87" i="4"/>
  <c r="H86" i="4"/>
  <c r="H85" i="4"/>
  <c r="F84" i="4"/>
  <c r="H81" i="4"/>
  <c r="H80" i="4"/>
  <c r="H79" i="4"/>
  <c r="H75" i="4"/>
  <c r="H74" i="4"/>
  <c r="H73" i="4"/>
  <c r="H72" i="4"/>
  <c r="F71" i="4"/>
  <c r="H70" i="4"/>
  <c r="F69" i="4"/>
  <c r="H68" i="4"/>
  <c r="H67" i="4"/>
  <c r="H66" i="4"/>
  <c r="H65" i="4"/>
  <c r="H63" i="4"/>
  <c r="H62" i="4"/>
  <c r="H61" i="4"/>
  <c r="H60" i="4"/>
  <c r="F59" i="4"/>
  <c r="H58" i="4"/>
  <c r="H57" i="4"/>
  <c r="H56" i="4"/>
  <c r="F55" i="4"/>
  <c r="G47" i="4"/>
  <c r="F47" i="4"/>
  <c r="F45" i="4"/>
  <c r="G43" i="4"/>
  <c r="F43" i="4"/>
  <c r="G41" i="4"/>
  <c r="F41" i="4"/>
  <c r="G37" i="4"/>
  <c r="F37" i="4"/>
  <c r="G33" i="4"/>
  <c r="F33" i="4"/>
  <c r="F31" i="4"/>
  <c r="F27" i="4"/>
  <c r="H23" i="4"/>
  <c r="F22" i="4"/>
  <c r="H21" i="4"/>
  <c r="H20" i="4"/>
  <c r="F18" i="4"/>
  <c r="H17" i="4"/>
  <c r="H16" i="4"/>
  <c r="F15" i="4"/>
  <c r="G565" i="4" l="1"/>
  <c r="F29" i="4"/>
  <c r="F118" i="4"/>
  <c r="F82" i="4"/>
  <c r="F323" i="4"/>
  <c r="F129" i="4"/>
  <c r="F215" i="4"/>
  <c r="F490" i="4"/>
  <c r="F507" i="4"/>
  <c r="F302" i="4"/>
  <c r="H300" i="4"/>
  <c r="G22" i="4"/>
  <c r="H22" i="4" s="1"/>
  <c r="H41" i="4"/>
  <c r="H284" i="4"/>
  <c r="F462" i="4"/>
  <c r="H137" i="4"/>
  <c r="H43" i="4"/>
  <c r="H47" i="4"/>
  <c r="H151" i="4"/>
  <c r="H161" i="4"/>
  <c r="G267" i="4"/>
  <c r="H267" i="4" s="1"/>
  <c r="G290" i="4"/>
  <c r="H290" i="4" s="1"/>
  <c r="G111" i="4"/>
  <c r="H190" i="4"/>
  <c r="G503" i="4"/>
  <c r="H503" i="4" s="1"/>
  <c r="H522" i="4"/>
  <c r="H195" i="4"/>
  <c r="H228" i="4"/>
  <c r="G355" i="4"/>
  <c r="H355" i="4" s="1"/>
  <c r="G486" i="4"/>
  <c r="H486" i="4" s="1"/>
  <c r="H567" i="4"/>
  <c r="G18" i="4"/>
  <c r="H18" i="4" s="1"/>
  <c r="H34" i="4"/>
  <c r="H152" i="4"/>
  <c r="H188" i="4"/>
  <c r="F13" i="4"/>
  <c r="H33" i="4"/>
  <c r="G55" i="4"/>
  <c r="H55" i="4" s="1"/>
  <c r="H258" i="4"/>
  <c r="H285" i="4"/>
  <c r="H301" i="4"/>
  <c r="G327" i="4"/>
  <c r="H327" i="4" s="1"/>
  <c r="H99" i="4"/>
  <c r="H200" i="4"/>
  <c r="G252" i="4"/>
  <c r="H252" i="4" s="1"/>
  <c r="G295" i="4"/>
  <c r="H295" i="4" s="1"/>
  <c r="G313" i="4"/>
  <c r="H313" i="4" s="1"/>
  <c r="H469" i="4"/>
  <c r="H131" i="4"/>
  <c r="G175" i="4"/>
  <c r="G173" i="4" s="1"/>
  <c r="H280" i="4"/>
  <c r="H279" i="4"/>
  <c r="G192" i="4"/>
  <c r="H19" i="4"/>
  <c r="H42" i="4"/>
  <c r="H48" i="4"/>
  <c r="G84" i="4"/>
  <c r="H84" i="4" s="1"/>
  <c r="H155" i="4"/>
  <c r="H169" i="4"/>
  <c r="H191" i="4"/>
  <c r="H229" i="4"/>
  <c r="G521" i="4"/>
  <c r="H521" i="4" s="1"/>
  <c r="H38" i="4"/>
  <c r="G69" i="4"/>
  <c r="H69" i="4" s="1"/>
  <c r="H170" i="4"/>
  <c r="H199" i="4"/>
  <c r="G224" i="4"/>
  <c r="H224" i="4" s="1"/>
  <c r="H262" i="4"/>
  <c r="G270" i="4"/>
  <c r="H270" i="4" s="1"/>
  <c r="H271" i="4"/>
  <c r="H283" i="4"/>
  <c r="H309" i="4"/>
  <c r="H356" i="4"/>
  <c r="G496" i="4"/>
  <c r="H496" i="4" s="1"/>
  <c r="H497" i="4"/>
  <c r="H296" i="4"/>
  <c r="H328" i="4"/>
  <c r="H487" i="4"/>
  <c r="H107" i="4"/>
  <c r="H114" i="4"/>
  <c r="H116" i="4"/>
  <c r="H168" i="4"/>
  <c r="G242" i="4"/>
  <c r="H242" i="4" s="1"/>
  <c r="H260" i="4"/>
  <c r="H304" i="4"/>
  <c r="H306" i="4"/>
  <c r="H569" i="4"/>
  <c r="G482" i="4"/>
  <c r="H482" i="4" s="1"/>
  <c r="G523" i="4"/>
  <c r="H523" i="4" s="1"/>
  <c r="H524" i="4"/>
  <c r="G31" i="4"/>
  <c r="G29" i="4" s="1"/>
  <c r="H32" i="4"/>
  <c r="H101" i="4"/>
  <c r="H120" i="4"/>
  <c r="F149" i="4"/>
  <c r="H495" i="4"/>
  <c r="G492" i="4"/>
  <c r="H492" i="4" s="1"/>
  <c r="H505" i="4"/>
  <c r="G15" i="4"/>
  <c r="H15" i="4" s="1"/>
  <c r="H44" i="4"/>
  <c r="G71" i="4"/>
  <c r="H71" i="4" s="1"/>
  <c r="H112" i="4"/>
  <c r="G124" i="4"/>
  <c r="G118" i="4" s="1"/>
  <c r="H125" i="4"/>
  <c r="G135" i="4"/>
  <c r="H135" i="4" s="1"/>
  <c r="H136" i="4"/>
  <c r="G154" i="4"/>
  <c r="G149" i="4" s="1"/>
  <c r="H162" i="4"/>
  <c r="H193" i="4"/>
  <c r="F192" i="4"/>
  <c r="F186" i="4" s="1"/>
  <c r="G197" i="4"/>
  <c r="H198" i="4"/>
  <c r="H217" i="4"/>
  <c r="H232" i="4"/>
  <c r="H230" i="4"/>
  <c r="G254" i="4"/>
  <c r="H254" i="4" s="1"/>
  <c r="H256" i="4"/>
  <c r="G264" i="4"/>
  <c r="H264" i="4" s="1"/>
  <c r="H317" i="4"/>
  <c r="H461" i="4"/>
  <c r="F470" i="4"/>
  <c r="H472" i="4"/>
  <c r="G517" i="4"/>
  <c r="H517" i="4" s="1"/>
  <c r="H518" i="4"/>
  <c r="H592" i="4"/>
  <c r="G585" i="4"/>
  <c r="G27" i="4"/>
  <c r="H27" i="4" s="1"/>
  <c r="H28" i="4"/>
  <c r="F286" i="4"/>
  <c r="H325" i="4"/>
  <c r="G519" i="4"/>
  <c r="H519" i="4" s="1"/>
  <c r="H520" i="4"/>
  <c r="H26" i="4"/>
  <c r="G45" i="4"/>
  <c r="H45" i="4" s="1"/>
  <c r="H46" i="4"/>
  <c r="H24" i="4"/>
  <c r="H37" i="4"/>
  <c r="F39" i="4"/>
  <c r="F53" i="4"/>
  <c r="G59" i="4"/>
  <c r="H117" i="4"/>
  <c r="H121" i="4"/>
  <c r="H166" i="4"/>
  <c r="H196" i="4"/>
  <c r="H236" i="4"/>
  <c r="H235" i="4"/>
  <c r="G247" i="4"/>
  <c r="H247" i="4" s="1"/>
  <c r="H248" i="4"/>
  <c r="H385" i="4"/>
  <c r="G476" i="4"/>
  <c r="H476" i="4" s="1"/>
  <c r="H477" i="4"/>
  <c r="G479" i="4"/>
  <c r="H479" i="4" s="1"/>
  <c r="G274" i="4"/>
  <c r="H275" i="4"/>
  <c r="H282" i="4"/>
  <c r="F240" i="4"/>
  <c r="H243" i="4"/>
  <c r="H293" i="4"/>
  <c r="F288" i="4"/>
  <c r="F298" i="4"/>
  <c r="H298" i="4" s="1"/>
  <c r="H318" i="4"/>
  <c r="G462" i="4"/>
  <c r="G470" i="4"/>
  <c r="H541" i="4"/>
  <c r="F537" i="4"/>
  <c r="G607" i="4"/>
  <c r="G603" i="4" s="1"/>
  <c r="H608" i="4"/>
  <c r="G286" i="4"/>
  <c r="G321" i="4"/>
  <c r="H322" i="4"/>
  <c r="G334" i="4"/>
  <c r="G360" i="4"/>
  <c r="G509" i="4"/>
  <c r="G527" i="4"/>
  <c r="H528" i="4"/>
  <c r="G539" i="4"/>
  <c r="H540" i="4"/>
  <c r="H545" i="4"/>
  <c r="G543" i="4"/>
  <c r="H543" i="4" s="1"/>
  <c r="F376" i="4" l="1"/>
  <c r="H111" i="4"/>
  <c r="G82" i="4"/>
  <c r="H82" i="4" s="1"/>
  <c r="H321" i="4"/>
  <c r="G319" i="4"/>
  <c r="H319" i="4" s="1"/>
  <c r="F147" i="4"/>
  <c r="G579" i="4"/>
  <c r="H579" i="4" s="1"/>
  <c r="H360" i="4"/>
  <c r="G323" i="4"/>
  <c r="H323" i="4" s="1"/>
  <c r="G129" i="4"/>
  <c r="H129" i="4" s="1"/>
  <c r="H124" i="4"/>
  <c r="H118" i="4"/>
  <c r="G490" i="4"/>
  <c r="H490" i="4" s="1"/>
  <c r="G215" i="4"/>
  <c r="H215" i="4" s="1"/>
  <c r="F175" i="4"/>
  <c r="F173" i="4" s="1"/>
  <c r="G376" i="4"/>
  <c r="G507" i="4"/>
  <c r="H507" i="4" s="1"/>
  <c r="G302" i="4"/>
  <c r="H302" i="4" s="1"/>
  <c r="H462" i="4"/>
  <c r="H435" i="4"/>
  <c r="H585" i="4"/>
  <c r="G288" i="4"/>
  <c r="H288" i="4" s="1"/>
  <c r="H139" i="4"/>
  <c r="H141" i="4"/>
  <c r="G53" i="4"/>
  <c r="H53" i="4" s="1"/>
  <c r="H192" i="4"/>
  <c r="G39" i="4"/>
  <c r="H39" i="4" s="1"/>
  <c r="H334" i="4"/>
  <c r="H565" i="4"/>
  <c r="H286" i="4"/>
  <c r="H149" i="4"/>
  <c r="H380" i="4"/>
  <c r="H29" i="4"/>
  <c r="H31" i="4"/>
  <c r="F272" i="4"/>
  <c r="G186" i="4"/>
  <c r="H186" i="4" s="1"/>
  <c r="H197" i="4"/>
  <c r="G525" i="4"/>
  <c r="H525" i="4" s="1"/>
  <c r="H527" i="4"/>
  <c r="G163" i="4"/>
  <c r="H163" i="4" s="1"/>
  <c r="H165" i="4"/>
  <c r="G272" i="4"/>
  <c r="H274" i="4"/>
  <c r="G13" i="4"/>
  <c r="G240" i="4"/>
  <c r="H240" i="4" s="1"/>
  <c r="G537" i="4"/>
  <c r="H539" i="4"/>
  <c r="H607" i="4"/>
  <c r="H603" i="4"/>
  <c r="H509" i="4"/>
  <c r="H470" i="4"/>
  <c r="H59" i="4"/>
  <c r="H154" i="4"/>
  <c r="F213" i="4" l="1"/>
  <c r="G147" i="4"/>
  <c r="F563" i="4"/>
  <c r="F610" i="4" s="1"/>
  <c r="H9" i="4"/>
  <c r="G563" i="4"/>
  <c r="G610" i="4" s="1"/>
  <c r="H173" i="4"/>
  <c r="H175" i="4"/>
  <c r="H272" i="4"/>
  <c r="H376" i="4"/>
  <c r="H13" i="4"/>
  <c r="H537" i="4"/>
  <c r="F611" i="4" l="1"/>
  <c r="G213" i="4"/>
  <c r="G611" i="4" s="1"/>
  <c r="H147" i="4"/>
  <c r="H213" i="4" s="1"/>
  <c r="H563" i="4"/>
  <c r="H610" i="4" s="1"/>
  <c r="H605" i="4" l="1"/>
  <c r="H611" i="4"/>
</calcChain>
</file>

<file path=xl/sharedStrings.xml><?xml version="1.0" encoding="utf-8"?>
<sst xmlns="http://schemas.openxmlformats.org/spreadsheetml/2006/main" count="1017" uniqueCount="524">
  <si>
    <t>Код Функціональної класифікації видатків та кредитування бюджету</t>
  </si>
  <si>
    <t>1600000</t>
  </si>
  <si>
    <t>Управління архітектури, дизайну та містобудівної діяльності</t>
  </si>
  <si>
    <t>1610000</t>
  </si>
  <si>
    <t>0160</t>
  </si>
  <si>
    <t>0111</t>
  </si>
  <si>
    <t>Керівництво і управління у відповідній сфері у містах (місті Києві), селищах, селах, об’єднаних територіальних громадах</t>
  </si>
  <si>
    <t>1617670</t>
  </si>
  <si>
    <t>7670</t>
  </si>
  <si>
    <t>0490</t>
  </si>
  <si>
    <t>Внески до статутного капіталу суб’єктів господарювання</t>
  </si>
  <si>
    <t>Департамент культури виконавчого комітету міської ради</t>
  </si>
  <si>
    <t>1010160</t>
  </si>
  <si>
    <t>1100</t>
  </si>
  <si>
    <t>0960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</si>
  <si>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</si>
  <si>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</si>
  <si>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</si>
  <si>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1900000</t>
  </si>
  <si>
    <t>Управління транспорту та зв'язку</t>
  </si>
  <si>
    <t>1910000</t>
  </si>
  <si>
    <t>Організація благоустрою населених пунктів</t>
  </si>
  <si>
    <t>Будівництво1 об'єктів житлово-комунального господарства</t>
  </si>
  <si>
    <t>1917670</t>
  </si>
  <si>
    <t>1917310</t>
  </si>
  <si>
    <t>7310</t>
  </si>
  <si>
    <t>0443</t>
  </si>
  <si>
    <t>1916030</t>
  </si>
  <si>
    <t>6030</t>
  </si>
  <si>
    <t>0620</t>
  </si>
  <si>
    <t>3700000</t>
  </si>
  <si>
    <t>Фінансове управління виконавчого комітету міської ради</t>
  </si>
  <si>
    <t>3710000</t>
  </si>
  <si>
    <t>3710160</t>
  </si>
  <si>
    <t>3710180</t>
  </si>
  <si>
    <t>0180</t>
  </si>
  <si>
    <t>0133</t>
  </si>
  <si>
    <t>Інша діяльність у сфері державного управління</t>
  </si>
  <si>
    <t>3719770</t>
  </si>
  <si>
    <t>9770</t>
  </si>
  <si>
    <t>Інші субвенції з місцевого бюджету</t>
  </si>
  <si>
    <t xml:space="preserve">Придбання комп'ютерної техніки та периферійного обладнання </t>
  </si>
  <si>
    <t>0800000</t>
  </si>
  <si>
    <t>Департамент соціальної політики виконавчого комітету міської ради</t>
  </si>
  <si>
    <t>0810000</t>
  </si>
  <si>
    <t>0810160</t>
  </si>
  <si>
    <t>0813031</t>
  </si>
  <si>
    <t>3031</t>
  </si>
  <si>
    <t>1030</t>
  </si>
  <si>
    <t>Надання інших пільг окремим категоріям громадян відповідно до законодавства</t>
  </si>
  <si>
    <t>1020</t>
  </si>
  <si>
    <t>0610</t>
  </si>
  <si>
    <t>1090</t>
  </si>
  <si>
    <t>Придбання обладнання і предметів довгострокового користування</t>
  </si>
  <si>
    <t>1610160</t>
  </si>
  <si>
    <t>7330</t>
  </si>
  <si>
    <t>1617340</t>
  </si>
  <si>
    <t>7340</t>
  </si>
  <si>
    <t>Проектування, реставрація та охорона пам'яток архітектури</t>
  </si>
  <si>
    <t>0700000</t>
  </si>
  <si>
    <t>Управління охорони здоров'я</t>
  </si>
  <si>
    <t>0710000</t>
  </si>
  <si>
    <t>0712010</t>
  </si>
  <si>
    <t>2010</t>
  </si>
  <si>
    <t>0731</t>
  </si>
  <si>
    <t>Багатопрофільна стаціонарна медична допомога населенню</t>
  </si>
  <si>
    <t>0712030</t>
  </si>
  <si>
    <t>2030</t>
  </si>
  <si>
    <t>0733</t>
  </si>
  <si>
    <t>Лікарсько-акушерська допомога  вагітним, породіллям та новонародженим</t>
  </si>
  <si>
    <t>0712080</t>
  </si>
  <si>
    <t>2080</t>
  </si>
  <si>
    <t>0721</t>
  </si>
  <si>
    <t>Амбулаторно-поліклінічна допомога населенню, крім первинної медичної допомоги</t>
  </si>
  <si>
    <t>Придбання обладнання та комп'ютерної техніки</t>
  </si>
  <si>
    <t>Капітальний ремонт житла особам з інвалідністю внаслідок війни</t>
  </si>
  <si>
    <t>1517310</t>
  </si>
  <si>
    <t>1517321</t>
  </si>
  <si>
    <t>1517324</t>
  </si>
  <si>
    <t>1517325</t>
  </si>
  <si>
    <t>1517330</t>
  </si>
  <si>
    <t>1517340</t>
  </si>
  <si>
    <t>Управління капітального будівництва виконавчого комітету міської ради</t>
  </si>
  <si>
    <t>Надання дошкільної освіти</t>
  </si>
  <si>
    <t>Капітальний ремонт вул. Надрічна (старої частини) в м. Івано-Франківську</t>
  </si>
  <si>
    <t>Будівництво доріг</t>
  </si>
  <si>
    <t>Будівництво моста через річку Бистриця Солотвинська та транспортної розв'язки в районі вул. Хіміків - Надрічна /ПВР + роботи/ ( І черга – «Будівництво транспортної розв’язки по вул. Надрічна в м. Івано-Франківську /ПВР + роботи/»)</t>
  </si>
  <si>
    <t>Будівництво моста через річку Бистриця Солотвинська та транспортної розв'язки в районі вул. Хіміків - Надрічна /ПВР + роботи/ (ІІ черга – «Будівництво вулиці Хіміків на ділянці від ЗОШ № 24 до річки Бистриця Солотвинська в м. Івано-Франківську /ПВР + роботи/»)</t>
  </si>
  <si>
    <t>Будівництво моста через річку Бистриця Солотвинська та транспортної розв'язки в районі вул. Хіміків - Надрічна /ПВР + роботи/ (ІІІ черга – «Будівництво моста через річку Бистриця Солотвинська в районі вул. Хіміків - Надрічна /ПВР + роботи/»)</t>
  </si>
  <si>
    <t>Будівництво1 освітніх установ та закладів</t>
  </si>
  <si>
    <t>Дитячий садок в с. Крихівці Івано-Франківської міської ради (нове будівництво)</t>
  </si>
  <si>
    <t xml:space="preserve">Реконструкція дитячого садочка на вул. Гната Хоткевича, 11-А </t>
  </si>
  <si>
    <t>Будівництво1 установ та закладів культури</t>
  </si>
  <si>
    <t>Будівництво1 споруд, установ та закладів фізичної культури і спорту</t>
  </si>
  <si>
    <t>Будівництво басейну в ФОК</t>
  </si>
  <si>
    <t>Будівництво1 інших об'єктів  комунальної власності</t>
  </si>
  <si>
    <t>1010</t>
  </si>
  <si>
    <t>0910</t>
  </si>
  <si>
    <t>7321</t>
  </si>
  <si>
    <t>7324</t>
  </si>
  <si>
    <t>7325</t>
  </si>
  <si>
    <t>1517370</t>
  </si>
  <si>
    <t>7370</t>
  </si>
  <si>
    <t>Реалізація інших заходів щодо соціально-економічного розвитку територій</t>
  </si>
  <si>
    <t xml:space="preserve">Фінансова підтримка культово-релігійним громадам </t>
  </si>
  <si>
    <t>1917411</t>
  </si>
  <si>
    <t>7411</t>
  </si>
  <si>
    <t>0451</t>
  </si>
  <si>
    <t>Утримання та розвиток автотранспорту</t>
  </si>
  <si>
    <t>1917421</t>
  </si>
  <si>
    <t>7421</t>
  </si>
  <si>
    <t>0453</t>
  </si>
  <si>
    <t xml:space="preserve">Утримання та розвиток наземного електротранспорту </t>
  </si>
  <si>
    <t>0810</t>
  </si>
  <si>
    <t>Утримання та фінансова підтримка спортивних споруд</t>
  </si>
  <si>
    <t>5041</t>
  </si>
  <si>
    <t>Департамент житлової, комунальної політики та благоустрою виконавчого комітету міської ради</t>
  </si>
  <si>
    <t>1210160</t>
  </si>
  <si>
    <t>1216011</t>
  </si>
  <si>
    <t>6011</t>
  </si>
  <si>
    <t>Експлуатація та технічне обслуговування житлового фонду</t>
  </si>
  <si>
    <t>1216030</t>
  </si>
  <si>
    <t>1217310</t>
  </si>
  <si>
    <t>1217670</t>
  </si>
  <si>
    <t>Придбання основних засобів</t>
  </si>
  <si>
    <t>Будівництво та реконструкція об'єктів житлово-комунального господарства</t>
  </si>
  <si>
    <r>
      <t xml:space="preserve">Внески в статутний фонд </t>
    </r>
    <r>
      <rPr>
        <b/>
        <sz val="14"/>
        <rFont val="Times New Roman"/>
        <family val="1"/>
        <charset val="204"/>
      </rPr>
      <t>КП "Муніципальна дорожня компанія"</t>
    </r>
    <r>
      <rPr>
        <sz val="14"/>
        <rFont val="Times New Roman"/>
        <family val="1"/>
        <charset val="204"/>
      </rPr>
      <t xml:space="preserve"> для формування фонду власних оборотних засобів і засобів обігу</t>
    </r>
  </si>
  <si>
    <r>
      <t xml:space="preserve">Внески в статутний фонд </t>
    </r>
    <r>
      <rPr>
        <b/>
        <sz val="14"/>
        <rFont val="Times New Roman"/>
        <family val="1"/>
        <charset val="204"/>
      </rPr>
      <t>КП "Івано-Франківськміськсвітло"</t>
    </r>
    <r>
      <rPr>
        <sz val="14"/>
        <rFont val="Times New Roman"/>
        <family val="1"/>
        <charset val="204"/>
      </rPr>
      <t xml:space="preserve"> для формування фонду власних оборотних засобів і засобів обігу</t>
    </r>
  </si>
  <si>
    <r>
      <t xml:space="preserve">Внески в статутний фонд </t>
    </r>
    <r>
      <rPr>
        <b/>
        <sz val="14"/>
        <rFont val="Times New Roman"/>
        <family val="1"/>
        <charset val="204"/>
      </rPr>
      <t xml:space="preserve">КП "Центр розвитку міста та рекреації" </t>
    </r>
    <r>
      <rPr>
        <sz val="14"/>
        <rFont val="Times New Roman"/>
        <family val="1"/>
        <charset val="204"/>
      </rPr>
      <t>для формування фонду власних оборотних засобів і засобів обігу</t>
    </r>
  </si>
  <si>
    <r>
      <t xml:space="preserve">Внески в статутний фонд </t>
    </r>
    <r>
      <rPr>
        <b/>
        <sz val="14"/>
        <rFont val="Times New Roman"/>
        <family val="1"/>
        <charset val="204"/>
      </rPr>
      <t xml:space="preserve">КП "Дирекція замовника" </t>
    </r>
    <r>
      <rPr>
        <sz val="14"/>
        <rFont val="Times New Roman"/>
        <family val="1"/>
        <charset val="204"/>
      </rPr>
      <t>для формування фонду власних оборотних засобів і засобів обігу (для модернізації житлового фонду)</t>
    </r>
  </si>
  <si>
    <r>
      <t xml:space="preserve">Внески в статутний фонд </t>
    </r>
    <r>
      <rPr>
        <b/>
        <sz val="14"/>
        <rFont val="Times New Roman"/>
        <family val="1"/>
        <charset val="204"/>
      </rPr>
      <t xml:space="preserve">КП "Полігон ТПВ" </t>
    </r>
    <r>
      <rPr>
        <sz val="14"/>
        <rFont val="Times New Roman"/>
        <family val="1"/>
        <charset val="204"/>
      </rPr>
      <t>для формування фонду власних оборотних засобів і засобів обігу</t>
    </r>
  </si>
  <si>
    <r>
      <t>Внески в статутний фонд</t>
    </r>
    <r>
      <rPr>
        <b/>
        <sz val="14"/>
        <rFont val="Times New Roman"/>
        <family val="1"/>
        <charset val="204"/>
      </rPr>
      <t xml:space="preserve"> ДМП «Івано-Франківськтеплокомуненерго» </t>
    </r>
    <r>
      <rPr>
        <sz val="14"/>
        <rFont val="Times New Roman"/>
        <family val="1"/>
        <charset val="204"/>
      </rPr>
      <t xml:space="preserve">для формування фонду власних оборотних засобів і засобів обігу   </t>
    </r>
  </si>
  <si>
    <r>
      <t xml:space="preserve">Внески в статутний фонд </t>
    </r>
    <r>
      <rPr>
        <b/>
        <sz val="14"/>
        <rFont val="Times New Roman"/>
        <family val="1"/>
        <charset val="204"/>
      </rPr>
      <t>КП "Міська ритуальна служба"</t>
    </r>
    <r>
      <rPr>
        <sz val="14"/>
        <rFont val="Times New Roman"/>
        <family val="1"/>
        <charset val="204"/>
      </rPr>
      <t xml:space="preserve"> для формування фонду власних оборотних засобів і засобів обігу</t>
    </r>
  </si>
  <si>
    <r>
      <t xml:space="preserve">Внески в статутний фонд </t>
    </r>
    <r>
      <rPr>
        <b/>
        <sz val="14"/>
        <rFont val="Times New Roman"/>
        <family val="1"/>
        <charset val="204"/>
      </rPr>
      <t>КП "Благоустрій"</t>
    </r>
    <r>
      <rPr>
        <sz val="14"/>
        <rFont val="Times New Roman"/>
        <family val="1"/>
        <charset val="204"/>
      </rPr>
      <t xml:space="preserve"> для формування фонду власних оборотних засобів і засобів обігу</t>
    </r>
  </si>
  <si>
    <t>1100000</t>
  </si>
  <si>
    <t>Департамент молодіжної політики та спорту виконавчого комітету міської ради</t>
  </si>
  <si>
    <t>1110000</t>
  </si>
  <si>
    <t>0600000</t>
  </si>
  <si>
    <t>Департамент освіти та науки виконавчого комітету міської ради</t>
  </si>
  <si>
    <t>0610000</t>
  </si>
  <si>
    <t>0611010</t>
  </si>
  <si>
    <t>0611020</t>
  </si>
  <si>
    <t>0921</t>
  </si>
  <si>
    <t>0611070</t>
  </si>
  <si>
    <t>1070</t>
  </si>
  <si>
    <t>0922</t>
  </si>
  <si>
    <t>0611090</t>
  </si>
  <si>
    <t>0611110</t>
  </si>
  <si>
    <t>1110</t>
  </si>
  <si>
    <t>0930</t>
  </si>
  <si>
    <t>0613132</t>
  </si>
  <si>
    <t>3132</t>
  </si>
  <si>
    <t>1040</t>
  </si>
  <si>
    <t>Утримання клубів для підлітків за місцем проживання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</si>
  <si>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</si>
  <si>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</si>
  <si>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</si>
  <si>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0200000</t>
  </si>
  <si>
    <t>Виконавчий комітет міської ради</t>
  </si>
  <si>
    <t>0210000</t>
  </si>
  <si>
    <t>0900000</t>
  </si>
  <si>
    <t>Служба у справах дітей виконавчого комітету міської ради</t>
  </si>
  <si>
    <t>0910000</t>
  </si>
  <si>
    <t>0910160</t>
  </si>
  <si>
    <t>Надання поворотної або безповоротної фінансової допомоги ПрАТ «Івано-Франківський локомотиворемонтний завод»</t>
  </si>
  <si>
    <t>Субвенція на капітальний ремонт території с. Микитинці</t>
  </si>
  <si>
    <t>Субвенція на капітальний ремонт території с. Угорники</t>
  </si>
  <si>
    <t>Субвенція на капітальний ремонт території с.  Крихівці</t>
  </si>
  <si>
    <t>Субвенція на капітальний ремонт території с. Вовчинці</t>
  </si>
  <si>
    <t>Субвенція на капітальний ремонт території с. Хриплин</t>
  </si>
  <si>
    <t>0216086</t>
  </si>
  <si>
    <t>6086</t>
  </si>
  <si>
    <t>Інша діяльність щодо забезпечення житлом громадян</t>
  </si>
  <si>
    <t>Міська цільова програма будівництва (придбання) доступного житла та молодіжного кредитування в місті Івано-Франківську на 2018-2022 роки"</t>
  </si>
  <si>
    <t>Програма охорони культурної спадщини м. Івано-Франківська на 2019-2021 роки</t>
  </si>
  <si>
    <t>Додаток 6</t>
  </si>
  <si>
    <t>до рішення___сесії міської ради</t>
  </si>
  <si>
    <t>від ____________№_____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</si>
  <si>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</si>
  <si>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</si>
  <si>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</si>
  <si>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Обсяг видатків бюджету розвитку, які спрямовуються на будівництво об'єкта у бюджетному періоді, гривень</t>
  </si>
  <si>
    <t>Найменування об'єкта будівництва / вид будівельних робіт, у тому числі проектні роботи</t>
  </si>
  <si>
    <t>0210180</t>
  </si>
  <si>
    <t>Бюджет розвитку</t>
  </si>
  <si>
    <t xml:space="preserve">Проект НЕФКО "Підвищення енергоефективності об'єктів бюджетної сфери м.Івано-Франківська"(кредитні кошти) </t>
  </si>
  <si>
    <t>Розвиток комунального транспорту</t>
  </si>
  <si>
    <t>Кошти, що передаються із загального фонду до бюджету розвитку</t>
  </si>
  <si>
    <t>Всього кошти, що передаються із загального фонду до бюджету розвитку</t>
  </si>
  <si>
    <t>0611161</t>
  </si>
  <si>
    <t>1161</t>
  </si>
  <si>
    <t>0990</t>
  </si>
  <si>
    <t>Забезпечення діяльності інших закладів у сфері освіти</t>
  </si>
  <si>
    <t>Програма "Освіта міста Івано-Франківська 2016-2020 роки"</t>
  </si>
  <si>
    <t>Програма "Здоров'я населення міста Івано-Франківська 2018-2020 роки"</t>
  </si>
  <si>
    <t>Комплексна програма підтримки та розвитку культури міста Івано-Франківська на 2016-2020 роки</t>
  </si>
  <si>
    <t>Капітальний ремонт об'єктів благоустрою</t>
  </si>
  <si>
    <t>Капітальний ремонт приміщень комунального некомерційного підприємства "Івано-Франківський міський клінічний перинатальний центр"</t>
  </si>
  <si>
    <t>1517322</t>
  </si>
  <si>
    <t>7322</t>
  </si>
  <si>
    <t>Будівництво1 медичних установ та закладів</t>
  </si>
  <si>
    <t>Капітальний ремонт об'єктів благоустрою населених пунктів</t>
  </si>
  <si>
    <t>Будівництво об'єктів житлово-комунального господарства</t>
  </si>
  <si>
    <t>Нове будівництво футбольного поля в м. Івано-Франківську (в районі Пасічної поблизу так званого «Німецького озера»)</t>
  </si>
  <si>
    <t>Будівництво спортивного залу в Підлузькій ЗОШ І-ІІ ступенів (ПВР+роботи)</t>
  </si>
  <si>
    <t>Капітальний ремонт автомобільної дороги С-091301 на відрізку Побережжя-Черніїв (ПВР+роботи)</t>
  </si>
  <si>
    <t>Капітальний ремонт автомобільної дороги Т-0906 на відрізку від моста (вул. Коновальця) через річку Бистриця Надвірнянська до кільця автомобільної дороги М-10 (с. Черніїв) (ПВР+роботи)</t>
  </si>
  <si>
    <t>1162</t>
  </si>
  <si>
    <t>Інші програми та заходи у сфері освіти</t>
  </si>
  <si>
    <t>0611162</t>
  </si>
  <si>
    <t>1150</t>
  </si>
  <si>
    <t>0611150</t>
  </si>
  <si>
    <t>Проект НЕФКО "Підвищення енергоефективності об'єктів бюджетної сфери м.Івано-Франківська" (співфінансування)</t>
  </si>
  <si>
    <t>Забезпечення здійснення енергозберігаючих заходів</t>
  </si>
  <si>
    <r>
      <t xml:space="preserve">Внески в статутний фонд </t>
    </r>
    <r>
      <rPr>
        <b/>
        <sz val="14"/>
        <rFont val="Times New Roman"/>
        <family val="1"/>
        <charset val="204"/>
      </rPr>
      <t>КП "Дирекція замовника</t>
    </r>
    <r>
      <rPr>
        <sz val="14"/>
        <rFont val="Times New Roman"/>
        <family val="1"/>
        <charset val="204"/>
      </rPr>
      <t>" для формування фонду власних оборотних засобів і засобів обігу (для облаштування прибудинкових територій)</t>
    </r>
  </si>
  <si>
    <t>Забезпечення діяльності інших закладів в галузі культури і мистецтва</t>
  </si>
  <si>
    <t>0829</t>
  </si>
  <si>
    <t>4081</t>
  </si>
  <si>
    <t>Реконструкція вул. Автоливмашівської (від залізничного переїзду до вул. Юності) в м. Івано-Франківську</t>
  </si>
  <si>
    <t>Субвенції з Державного бюджету</t>
  </si>
  <si>
    <t xml:space="preserve">Субвенція на надання державної підтримки особам з особливими освітніми потребами </t>
  </si>
  <si>
    <t>Реконструкція нежитлових приміщень під службові приміщення, розташованих на шостому поверсі в будинку на вул. Незалежності, 9 в м. Івано-Франківську</t>
  </si>
  <si>
    <t>Субвенція на капітальний ремонт території с. Чукалівка</t>
  </si>
  <si>
    <t>Субвенція на капітальний ремонт території с. Узин</t>
  </si>
  <si>
    <t>Будівництво1 інших об'єктів комунальної власності</t>
  </si>
  <si>
    <t>Капітальний ремонт із заміною вікон Колодіївської ЗОШ</t>
  </si>
  <si>
    <t>Реконструкція системи опалення соціально-культурного центру на вул. Шевченка, 24 в с. Березівка</t>
  </si>
  <si>
    <t>Капітальний ремонт об'єктів транспортної інфраструктури міста</t>
  </si>
  <si>
    <t>Капітальний ремонт приміщення будинку культури в с. Підпечари</t>
  </si>
  <si>
    <r>
      <t xml:space="preserve">Внески в статутний фонд </t>
    </r>
    <r>
      <rPr>
        <b/>
        <sz val="14"/>
        <rFont val="Times New Roman"/>
        <family val="1"/>
        <charset val="204"/>
      </rPr>
      <t>КП "Простір інноваційних Креацій "Палац"</t>
    </r>
    <r>
      <rPr>
        <sz val="14"/>
        <rFont val="Times New Roman"/>
        <family val="1"/>
        <charset val="204"/>
      </rPr>
      <t xml:space="preserve"> для формування фонду власних оборотних засобів і засобів обігу</t>
    </r>
  </si>
  <si>
    <r>
      <t>Внески в статутний фонд</t>
    </r>
    <r>
      <rPr>
        <b/>
        <sz val="14"/>
        <rFont val="Times New Roman"/>
        <family val="1"/>
        <charset val="204"/>
      </rPr>
      <t xml:space="preserve"> КП "Електроавтотранс"</t>
    </r>
    <r>
      <rPr>
        <sz val="14"/>
        <rFont val="Times New Roman"/>
        <family val="1"/>
        <charset val="204"/>
      </rPr>
      <t xml:space="preserve"> для формування фонду власних оборотних засобів і засобів обігу </t>
    </r>
  </si>
  <si>
    <t>Розподіл коштів бюджету на здійснення заходів із капітальних видатків, будівництва, реконструкції і реставрації об'єктів виробничої, комунікаційної та соціальної інфраструктури за об'єктами у 2020 році</t>
  </si>
  <si>
    <t>Програма фінансової підтримки громадських організацій фізкультурно-спортивного спрямування, спортивних клубів та федерацій з видів спорту міста Івано-Франківська на   2020-2024 роки</t>
  </si>
  <si>
    <r>
      <t xml:space="preserve">Внески в статутний фонд </t>
    </r>
    <r>
      <rPr>
        <b/>
        <sz val="14"/>
        <rFont val="Times New Roman"/>
        <family val="1"/>
        <charset val="204"/>
      </rPr>
      <t>КП "Муніципальна інспекція «Добродій»"</t>
    </r>
    <r>
      <rPr>
        <sz val="14"/>
        <rFont val="Times New Roman"/>
        <family val="1"/>
        <charset val="204"/>
      </rPr>
      <t xml:space="preserve"> для формування фонду власних оборотних засобів і засобів обігу</t>
    </r>
  </si>
  <si>
    <t>Нове будівництво футбольного поля стандартних розмірів та влаштування спортивних майданчиків багатофункціонального призначення в ЗШ №24</t>
  </si>
  <si>
    <t>Будівництво НВК ЗОШ № 6 в м-ні "Опришівці" (ПВР+роботи)</t>
  </si>
  <si>
    <t>Будівництво дитячого садка в м-ні "Каскад" (ПВР+роботи)</t>
  </si>
  <si>
    <t>Зміни, що вносяться (+,-)</t>
  </si>
  <si>
    <t>Уточнений обсяг видатків бюджету розвитку, затверджений сесією міської ради, які спрямовуються на будівництво об'єкта у бюджетному періоді, гривень</t>
  </si>
  <si>
    <t xml:space="preserve">Реконструкція інших об'єктів </t>
  </si>
  <si>
    <t>Реконструкція об'єктів транспортної інфраструктури міста</t>
  </si>
  <si>
    <t>Реконструкція</t>
  </si>
  <si>
    <t>Будівництво</t>
  </si>
  <si>
    <t>Будівництво інших об'єктів</t>
  </si>
  <si>
    <t>Капітальний ремонт інших об'єктів</t>
  </si>
  <si>
    <t>Капітальний ремонт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</si>
  <si>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</si>
  <si>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</t>
  </si>
  <si>
    <t>Надання позашкільної освіти закладами позашкільної освіти, заходи із позашкільної роботи з дітьми</t>
  </si>
  <si>
    <t>Підготовка кадрів закладами професійної (професійно-технічної) освіти та іншими закладами освіти</t>
  </si>
  <si>
    <t>Методичне забезпечення діяльності закладів освіти</t>
  </si>
  <si>
    <t>Надання спеціальної освіти мистецькими школами</t>
  </si>
  <si>
    <t xml:space="preserve">Субвенції з Державного, обласного, сільських та інших бюджетів </t>
  </si>
  <si>
    <t>Субвенція з обласного бюджету на капітальний ремонт приміщень Івано-Франківської спеціалізованої школи І-ІІІ ступенів №5 з поглибленим вивченням німецької мови на вул. І. Франка в м. Івано-Франківськ</t>
  </si>
  <si>
    <t>0712111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</si>
  <si>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</si>
  <si>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</si>
  <si>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</si>
  <si>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4030</t>
  </si>
  <si>
    <t>0824</t>
  </si>
  <si>
    <t>Забезпечення діяльності бібліотек</t>
  </si>
  <si>
    <t>Придбання книг для бібліотеки с. Вовчинець (субвенція з с. Вовчинець)</t>
  </si>
  <si>
    <t>Будівництво каналізаційної мережі в с. Хриплин Івано-Франківської міської ради (ПВР+роботи) (субвенція з с. Хриплин)</t>
  </si>
  <si>
    <t>Розширення загальноосвітньої школи І-ІІ ступенів в с.Хриплин  (І п.к.) (субвенція з с. Хриплин)</t>
  </si>
  <si>
    <t>Субвенція з обласного бюджету на капітальний ремонт 4-го поверху комунального некомерційного підприємства «Міський клінічний перинатальний центр Івано-Франківської міської ради</t>
  </si>
  <si>
    <t>Субвенція з обласного бюджету на будівництво дитячого спортивного майданчика на розі вулиці Коновальця-Блавацького в мікрорайоні Опришівці Івано-Франківської міської ради</t>
  </si>
  <si>
    <t>Всього капітальних вкладень</t>
  </si>
  <si>
    <t>Всього по бюджету розвитку разом з субвенціями</t>
  </si>
  <si>
    <t>Разом по бюджету розвитку</t>
  </si>
  <si>
    <t>Міська цільова програма "Партиципаторне бюджетування (бюджет участі) у м.Івано-Франківськ"</t>
  </si>
  <si>
    <t>Міський конкурс проєктів та програм розвитку місцевого самоврядування та громадянського суспільства</t>
  </si>
  <si>
    <t>Придбання службового автотранспорту для амбулаторії загальної практики сімейної медицини по вул. Злуки, 1. с. Черніїв Тисменицького району</t>
  </si>
  <si>
    <t>Придбання службового автотранспорту для амбулаторії загальної практики сімейної медицини по вул. Берегова. 4 б, с. Хриплин м. Івано-Франківськ</t>
  </si>
  <si>
    <t>Придбання службового автотранспорту для амбулаторії загальної практики сімейної медицини по вул. 22 Січня, 218 а, с. Крихівці м. Івано-Франківськ</t>
  </si>
  <si>
    <t>Придбання службового автотранспорту для амбулаторії загальної практики сімейної медицини по вул. Просвіти, 4, с. Угорники м. Івано-Франківськ</t>
  </si>
  <si>
    <t>Придбання службового автотранспорту для амбулаторії загальної практики сімейної медицини по вул. Ясенева, 2, с. Микитинці м. Івано-Франківськ</t>
  </si>
  <si>
    <t>Придбання службового автотранспорту для амбулаторії загальної практики сімейної медицини іто вул. Вовчинецька. 39, с. Вовчинець м. Івано-Франківськ</t>
  </si>
  <si>
    <t>Субвенція з обласного бюджету на встановлення дитячого спортивного майданчика на вулиці Весняній у мікрорайоні Опришівці Івано-Франківської міської ради</t>
  </si>
  <si>
    <t>Субвенція з обласного бюджету на виготовлення проектно-кошторисної документації для здійснення ремонтно-реставраційних робіт на І поверсі центрального корпусу Івано-Франківського комунального закладу «Міська поліклініка № 3 на вул. І. Франка, 30</t>
  </si>
  <si>
    <t>Субвенція з обласного бюджету на придбання спортивного інвентарю для Івано-Франківської дитячо-юнацької спортивної школи №2 Івано-Франківської міської ради</t>
  </si>
  <si>
    <t>Будівництво дитячого садка в с. Крихівці (субвенція з с. Крихівці)</t>
  </si>
  <si>
    <t>Придбання предметів і матеріалів довгострокового користування для ДНЗ №25 «Янголятко» (субвенція з с. Микитинці)</t>
  </si>
  <si>
    <t>Програма підтримки та розвитку Микитинецької ЗШ (субвенція з с. Микитинці)</t>
  </si>
  <si>
    <t>Реконструкція Народного дому в селі Угорники Івано-Франківської міської ради (субвенція з с. Угорники)</t>
  </si>
  <si>
    <t>Капітальний ремонт будинків, управління яких здійснюється ОСББ, ОК (Співфінансування)</t>
  </si>
  <si>
    <t>Капітальний ремонт вулиць та доріг міста</t>
  </si>
  <si>
    <t>Капітальний ремонт міжбудинкових проїздів та прибудинкових територій</t>
  </si>
  <si>
    <t>Капітальний ремонт тротуарів та пішохідних доріжок</t>
  </si>
  <si>
    <t>Забезпечення вільного доступу людей з обмеженими можливостями</t>
  </si>
  <si>
    <t>Капітальний ремонт об'єктів зовнішнього освітлення міста</t>
  </si>
  <si>
    <t>Влаштування газонів та клумб</t>
  </si>
  <si>
    <t>Капітальний  ремонт скверів (парків)</t>
  </si>
  <si>
    <t>Освітлення фасадів будинків</t>
  </si>
  <si>
    <t>Встановлення камер відеоспостереження</t>
  </si>
  <si>
    <t>Встановлення лавок, урн та інших МАФ</t>
  </si>
  <si>
    <t>Капітальний ремонт об'єктів водопровідно-каналізаційного господарства</t>
  </si>
  <si>
    <t>Встановлення контейнерів для роздільного збору сміття та капітальний ремонт контейнерних майданчиків</t>
  </si>
  <si>
    <t>Влаштування "острівців безпеки" та організація дорожнього руху на вулицях міста</t>
  </si>
  <si>
    <r>
      <t xml:space="preserve">Внески в статутний фонд </t>
    </r>
    <r>
      <rPr>
        <b/>
        <sz val="14"/>
        <rFont val="Times New Roman"/>
        <family val="1"/>
        <charset val="204"/>
      </rPr>
      <t xml:space="preserve">КП "Теплий дім" </t>
    </r>
    <r>
      <rPr>
        <sz val="14"/>
        <rFont val="Times New Roman"/>
        <family val="1"/>
        <charset val="204"/>
      </rPr>
      <t>для формування фонду власних оборотних засобів і засобів обігу (для модернізації житлового фонду в тому числі теплова модернізація)</t>
    </r>
  </si>
  <si>
    <r>
      <t xml:space="preserve">Внески в статутний фонд </t>
    </r>
    <r>
      <rPr>
        <b/>
        <sz val="14"/>
        <rFont val="Times New Roman"/>
        <family val="1"/>
        <charset val="204"/>
      </rPr>
      <t>КП "Теплий дім"</t>
    </r>
    <r>
      <rPr>
        <sz val="14"/>
        <rFont val="Times New Roman"/>
        <family val="1"/>
        <charset val="204"/>
      </rPr>
      <t xml:space="preserve"> для формування фонду власних оборотних засобів і засобів обігу (для облаштування прибудинкових територій)</t>
    </r>
  </si>
  <si>
    <t>Реконструкція дитячого садка на вул. Ст. Бандери, 10а в м. Івано-Франківську (ПВР)</t>
  </si>
  <si>
    <t>Нове будівництво котельні в с. Хриплин Івано-Франківської міської ради в межах вулиць Хриплинська-Стартова</t>
  </si>
  <si>
    <t>Будівництво комплексного спортивного майданчика з полями для ігрових видів спорту в районі вулиць Симоненка, 3в – Вовчинецька, 202 (ПВР+роботи)</t>
  </si>
  <si>
    <t>Будівництво каналізаційної мережі в селі Хриплин Івано-Франківської міської ради (ПВР+роботи)</t>
  </si>
  <si>
    <t>Нове будівництво, реконструкція та капітальний ремонт мереж зовнішнього освітлення дворових територій міста Івано-Франківська</t>
  </si>
  <si>
    <t>Будівництво дитячих та спортивних майданчиків (на виконання програми будівництва, реконструкції, капітального ремонту малих архітектурних форм дитячих спортивних та ігрових майданчиків в мікрорайонах та освітніх закладах м. Івано-Франківська на 2017-2020 роки)</t>
  </si>
  <si>
    <t>Вибірковий капітальний ремонт вул. Коперніка</t>
  </si>
  <si>
    <t>Капітальний ремонт спортивного майданчика біля житлового будинку на вул. Дорошенка, 18</t>
  </si>
  <si>
    <t>Капітальний ремонт вул. Індустріальна</t>
  </si>
  <si>
    <t>Капітальний ремонт вул. Галицької (від роз'їзду на Калуське шосе до вул. Хіміків)</t>
  </si>
  <si>
    <t>Капітальний ремонт приміщення міського центру освітніх інновацій по вул. Незалежності, 36 (ПВР+роботи)</t>
  </si>
  <si>
    <t>Капітальний ремонт пішохідної зони на вул. В. Стуса</t>
  </si>
  <si>
    <t>Капітальний ремонт мереж зовнішнього освітлення дворових територій ЗШ та ДНЗ</t>
  </si>
  <si>
    <t>Реконструкція центрального міського стадіону «Рух» на вул. Чорновола, 128 в м. Івано-Франківську</t>
  </si>
  <si>
    <t>Нове будівництво дошкільного навчального закладу по вул. Чорновола (ПВР)</t>
  </si>
  <si>
    <t>Нове будівництво корпусу ЗШС №6 в м-ні "Пасічна" в м. Івано-Франківську (ПВР+роботи)</t>
  </si>
  <si>
    <t>Капітальний ремонт системи опалення ДНЗ №6 на вул. Тарнавського, 16</t>
  </si>
  <si>
    <t>Будівництво спортивного залу ЗОШ №16</t>
  </si>
  <si>
    <t>Капітальний ремонт даху ДНЗ № 18 «Зернятко» по вул. Івана Павла ІІ, 14 в м. Івано-Франківську</t>
  </si>
  <si>
    <t>Капітальний ремонт огороджуючих конструкцій ЗОШ І-ІІІ ступенів №19 по вул. Гната Хоткевича, 56 в м. Івано-Франківську</t>
  </si>
  <si>
    <t>Будівництво консультативно-діагностичного центру з відділенням невідкладної допомоги по вул. Гетьмана Мазепи, 114</t>
  </si>
  <si>
    <t>Капітальний ремонт даху корпусу №5 ЦМКЛ</t>
  </si>
  <si>
    <t>Капітальний ремонт І поверху в стаціонарі Комунального некомерційного підприємства "Міська дитяча клінічна лікарня Івано-Франківської міської ради" по вул. Чорновола, 44</t>
  </si>
  <si>
    <t>Капітальний ремонт Народного дому «Княгинин»  на вул. Галицька, 40 в м. Івано-Франківську (ПВР+роботи)</t>
  </si>
  <si>
    <t>Будівництво багатоквартирного житлового будинку з приміщеннями поліклініки на базі об'єкту незавершеного будівництва по вул. Софіївка,39 в м. Івано-Франківську (ПВР+роботи)</t>
  </si>
  <si>
    <t>Ремонтно-реставраційні роботи корпусу № 1 ЗОШ № 7 в м. Івано-Франківську (ПВР+роботи)</t>
  </si>
  <si>
    <t>Добудова навчального корпусу ЗОШ №12 по вул. Національної Гвардії, 13 (ПКД)</t>
  </si>
  <si>
    <t>Заміна вікон на сходових клітках в будинку на вул. Івана Павла ІІ, 30</t>
  </si>
  <si>
    <t>Нове будівництво футбольного поля з штучним покриттям в районі стадіону Рух в м. Івано-Франківську</t>
  </si>
  <si>
    <t>Влаштування острівців безпеки</t>
  </si>
  <si>
    <t>Облаштування освітлення нерегульованих переходів</t>
  </si>
  <si>
    <t>Облаштування зупинок громадського транспорту</t>
  </si>
  <si>
    <t>Нанесення дорожньої розмітки</t>
  </si>
  <si>
    <t>Монтаж нових та заміна старих дорожніх знаків та вказівників вулиць</t>
  </si>
  <si>
    <t>Придбання обладнання для дорожньої інфраструктури</t>
  </si>
  <si>
    <t>Програма розвитку системи надання адміністративних послуг в м. Івано-Франківську на 2019-2022 роки</t>
  </si>
  <si>
    <t>0217693</t>
  </si>
  <si>
    <t>7693</t>
  </si>
  <si>
    <t>Інші заходи, пов'язані з економічною діяльністю</t>
  </si>
  <si>
    <t>Міжнародний проект "Управління та використання міської та природної культурної спадщини в містах Дунайського регіону (URBforDAN)в рамках грантової Дунайської транснаціональної програми"</t>
  </si>
  <si>
    <t>Капітальний ремонт дорожнього покриття вул. О Кобилянської (від вул. С. Бандери) в с. Черніїв</t>
  </si>
  <si>
    <t>Капітальний ремонт дорожнього покриття вул. Злуки в с. Черніїв</t>
  </si>
  <si>
    <t>Капітальний ремонт вул. Левинського (ПВР+роботи)</t>
  </si>
  <si>
    <t>Капітальний ремонт вул. Ушинського</t>
  </si>
  <si>
    <t>Капітальний ремонт вул. Софіївка</t>
  </si>
  <si>
    <t>Будівництво Північного бульвару на ділянці від вул. Бельведерської до вул. Панаса Мирного (ПВР+роботи)</t>
  </si>
  <si>
    <t>Капітальний ремонт вул Січинського</t>
  </si>
  <si>
    <t>Капітальний ремонт вул. Макогона (ПВР+ роботи)</t>
  </si>
  <si>
    <t>Субвенція м. Києву для встановлення пам’ятника І. Франку</t>
  </si>
  <si>
    <t>1500000</t>
  </si>
  <si>
    <t>1510000</t>
  </si>
  <si>
    <t>1517363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</si>
  <si>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</si>
  <si>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</si>
  <si>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Капітальний ремонт проїзду до житлового будинку на вул. Чорновола, 128а в м. Івано-Франківську (Капітальний ремонт)</t>
  </si>
  <si>
    <t>Фонд міської ради на виконання депутатських повноважень</t>
  </si>
  <si>
    <t>Придбання обладнання, комп'ютерної техніки та предметів довгострокового користування</t>
  </si>
  <si>
    <t>0210160</t>
  </si>
  <si>
    <t>2700000</t>
  </si>
  <si>
    <t>Управління економічного та інтеграційного розвитку</t>
  </si>
  <si>
    <t>2710000</t>
  </si>
  <si>
    <t>2710160</t>
  </si>
  <si>
    <t>Придбання предметів довгострокового користування</t>
  </si>
  <si>
    <t>0217310</t>
  </si>
  <si>
    <t>Будівництво каналізаційної мережі в селі Угорники Івано-Франківської міської ради  (ПВР+роботи)</t>
  </si>
  <si>
    <t>Капітальний ремонт прилеглої території до озера розташованого  поруч із ЗШ №21 та його очищення</t>
  </si>
  <si>
    <t>Ремонт приміщень Центрального народного дому на вул. Тараса Шевченка,1 в м. Івано-Франківську /ремонтно-реставраційні роботи/ (ПВР+роботи)</t>
  </si>
  <si>
    <t>8410</t>
  </si>
  <si>
    <t>0830</t>
  </si>
  <si>
    <t>Фінансова підтримка засобів масової інформації</t>
  </si>
  <si>
    <t>Закупівля обладнання для ТРК ВЕЖА</t>
  </si>
  <si>
    <t>Придбання медичного обладнання для КНП «Центральна міська клінічна лікарня»</t>
  </si>
  <si>
    <t>Придбання основних засобів Вовчинецької ЗШ (субвенція з с. Вовчинець)</t>
  </si>
  <si>
    <t>Придбання службового автотранспорту для амбулаторії загальної практики сімейної медицини по вул. Стефаника, 1, с. Підлужжя Тисменицького району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</si>
  <si>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</si>
  <si>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</si>
  <si>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</si>
  <si>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«Капітальний ремонт систем опалення в архівному приміщенні за адресою вул. Грюнвальдська, 15</t>
  </si>
  <si>
    <t>Придбання книг для бібліотеки-філії №9 в с. Крихівці (субвенція з с. Крихівці)</t>
  </si>
  <si>
    <t>Придбання гінекологічного крісла для КНП ЦПМ КДД СП МП№1 лікарська амбулаторія у с. Крихівці (субвенція з с. Крихівці)</t>
  </si>
  <si>
    <t>Субвенція з обласного бюджету на виконання заходів регіональної цільової програми «Духовне життя» на 2016 – 2020 роки (для камерного хору «Преображення Господнього» Собору Преображення Господнього в м. Івано-Франківську)</t>
  </si>
  <si>
    <t>Нове будівництво, реконструкція та капітальний ремонт мереж зовнішнього освітлення вулиць в селі Березівка</t>
  </si>
  <si>
    <r>
      <t xml:space="preserve">Внески в статутний фонд </t>
    </r>
    <r>
      <rPr>
        <b/>
        <sz val="14"/>
        <rFont val="Times New Roman"/>
        <family val="1"/>
        <charset val="204"/>
      </rPr>
      <t>КП "Дирекція замовника</t>
    </r>
    <r>
      <rPr>
        <sz val="14"/>
        <rFont val="Times New Roman"/>
        <family val="1"/>
        <charset val="204"/>
      </rPr>
      <t xml:space="preserve">" для формування фонду власних оборотних засобів і засобів обігу </t>
    </r>
  </si>
  <si>
    <r>
      <t xml:space="preserve">Внески в статутний фонд </t>
    </r>
    <r>
      <rPr>
        <b/>
        <sz val="14"/>
        <rFont val="Times New Roman"/>
        <family val="1"/>
        <charset val="204"/>
      </rPr>
      <t>КП "Теплий дім"</t>
    </r>
    <r>
      <rPr>
        <sz val="14"/>
        <rFont val="Times New Roman"/>
        <family val="1"/>
        <charset val="204"/>
      </rPr>
      <t xml:space="preserve"> для формування фонду власних оборотних засобів і засобів обігу</t>
    </r>
  </si>
  <si>
    <t>Капітальний ремонт вул. Крайківського (ПВР)</t>
  </si>
  <si>
    <t>Капітальний ремонт вул. Озаркевича</t>
  </si>
  <si>
    <t>Капітальний ремонт вул. Гімназійна (ПВР)</t>
  </si>
  <si>
    <t>Фільтратопровід від полігону ТПВ в районі с. Рибне до точки врізки в міську каналізацію в м. Івано-Франківську</t>
  </si>
  <si>
    <t>Реконструкція вул. Івасюка з влаштуванням велодоріжки в м. Івано-Франківську (ПВР)</t>
  </si>
  <si>
    <t>Капітальний ремонт благоустрою території біля стадіону "Рух" (ПВР)</t>
  </si>
  <si>
    <t>Капітальний ремонт вул. Національної Гвардії (ПВР)</t>
  </si>
  <si>
    <t>Капітальний ремонт вул. Республіканська</t>
  </si>
  <si>
    <t>Капітальний ремонт вул. Військових Ветеранів</t>
  </si>
  <si>
    <t>Капітальний ремонт елементів фасаду навчально-реабілітаційного центру на вул. Гната Хоткевича, 52  в м. Івано-Франківську</t>
  </si>
  <si>
    <t>Капітальний ремонт елементів фасаду ДНЗ №33 "Кристалик" по вул. Вовчинець-кій, 198 А в м. Івано-Франківську</t>
  </si>
  <si>
    <t>Капітальний ремонт елементів фасаду ДНЗ №23 "Дударик" по вул. Сухомлинського, 10 А в м. Івано-Франківську</t>
  </si>
  <si>
    <t>Капітальний ремонт елементів фасаду ДНЗ №16 "Сонечко" по вул. Короля Данила, 15-А а в м. Івано-Франківську</t>
  </si>
  <si>
    <t>Капітальний ремонт елементів благоустрою ЗШ №25 на вул. 24 Серпня, 13 в м. Івано-Франківську</t>
  </si>
  <si>
    <t>Реконструкція Народного дому в селі Угорники Івано-Франківської міської ради</t>
  </si>
  <si>
    <t>Реконструкція фізкультурно-оздоровчого комплексу "Електрон" по вул. С. Бандери, 12А (ПВР)</t>
  </si>
  <si>
    <t>Капітальний ремонт даху над нежитловими приміщеннями по вул. Тролейбусна, 22А</t>
  </si>
  <si>
    <t>0712152</t>
  </si>
  <si>
    <t>2152</t>
  </si>
  <si>
    <t>Інші програми та заходи у сфері охорони здоров’я</t>
  </si>
  <si>
    <t>0763</t>
  </si>
  <si>
    <t>2717693</t>
  </si>
  <si>
    <t>0491</t>
  </si>
  <si>
    <t>Програма промоції міста Івано-Франківська на 2016-2020 роки</t>
  </si>
  <si>
    <t>Субвенція на нове будівництво каплички в урочищі «Рінь» с. Хриплин</t>
  </si>
  <si>
    <t>Капітальний ремонт приміщень Будинку нічного перебування з адресою: вул. Млинарська, 2А в м. Івано-Франківську</t>
  </si>
  <si>
    <t>Програма розвитку електронного урядування у виконавчому комітеті Івано-Франківської міської ради на 2020-2021 роки</t>
  </si>
  <si>
    <t>Реконструкція футбольного поля в с. Черніїв</t>
  </si>
  <si>
    <t>Ремонтно-реставраційні роботи даху та приміщень будинку пам’ятки містобудування і архітектури місцевого значення охоронний №6-іф (колишня жіноча вчительська семінарія 1911р) адмінбудинку на вул. Дністровська,28</t>
  </si>
  <si>
    <t>Субвенція на розвиток села Крилос Галицького району</t>
  </si>
  <si>
    <t>Капітальний ремонт вулиці Лесі Українки в с. Колодіївка</t>
  </si>
  <si>
    <t>Придбання обладнання для КНП ЦМКЛ, для реалізації запланованих заходів у рамках проекту «Спільні ініціативи та рішення у сфері охорони здоров’я у транскордонній Румунії-Україні</t>
  </si>
  <si>
    <t>Капітальний ремонт адміністративних приміщень за адресою с. Березівка, вулиця Шевченка, 24</t>
  </si>
  <si>
    <t>Капітальний ремонт адміністративних приміщень за адресою с. Підпечери, вул. Січових Стрільців, 2</t>
  </si>
  <si>
    <t>Влаштування тимчасового металевого пандуса біля центрального входу будівлі КНП "Міська клінічна лікарня" Івано-Франківської міської ради на вул. Матейки,34 в м. Івано-Франківську для організації транспортування хворих на коронавірус COVID-19</t>
  </si>
  <si>
    <t>1610180</t>
  </si>
  <si>
    <t>Створення ПК геоінформаційної системи містобудівного кадастру м. ІФ</t>
  </si>
  <si>
    <t>Субвенція районному бюджету Галицької районної ради на соціально-економічний розвиток району</t>
  </si>
  <si>
    <t>Придбання лабораторного обладнання (резервний фонд)</t>
  </si>
  <si>
    <t>Капітальний ремонт заїзду до приймального відділення КНП «Міська клінічна лікарня №1 Івано-Франківської міської ради» по вул. Матейки, 34 в м. Івано-Франківську</t>
  </si>
  <si>
    <t>Придбання україномовної літератури для бібліотеки-філії №12 в с. Микитинці (субвенція з с. Микитинці)</t>
  </si>
  <si>
    <t>КНП ЦМКЛ "Співфінансування проєкту в рамках програми Транскордонного співробітництва Румунія-Україна 2014-2020 "Лікарні без інфекцій"</t>
  </si>
  <si>
    <t>Придбання основних засобів для центру соціально-психологічної реабілітації дітей та молоді з функціональними обмеженнями «Дивосвіт»</t>
  </si>
  <si>
    <t>1110160</t>
  </si>
  <si>
    <t>Капітальний ремонт санвузлів на 5 поверсі будинку по вул. Незалежності, 9 в м. Івано-Франківську</t>
  </si>
  <si>
    <t>Субвенція з обласного бюджету на ремонт та придбання обладнання для їдальні (харчоблоку) Ліцей №19 Івано-Франківської міської ради</t>
  </si>
  <si>
    <t>Субвенція з обласного бюджету на ремонт та придбання обладнання для їдальні (харчоблоку) Ліцей №21 Івано-Франківської міської ради</t>
  </si>
  <si>
    <t>Субвенція з обласного бюджету на ремонт та придбання обладнання для їдальні (харчоблоку) Ліцей №5 Івано-Франківської міської ради</t>
  </si>
  <si>
    <t>Субвенція з обласного бюджету на ремонт та придбання обладнання для їдальні (харчоблоку) Ліцей №24 Івано-Франківської міської ради</t>
  </si>
  <si>
    <t>Субвенція з обласного бюджету на ремонт та придбання обладнання для їдальні (харчоблоку) Ліцей №23 імені Романа Гурика Івано-Франківської міської ради</t>
  </si>
  <si>
    <t>Субвенція обласному бюджету для співфінансування  видатків на закупівлю сучасних меблів на забезпечення якісної, сучасної та доступної загальної середньої освіти «Нова українська школа»</t>
  </si>
  <si>
    <t>Субвенція обласному бюджету для співфінансування  видатків на закупівлю комп"ютерного обладнання на забезпечення якісної, сучасної та доступної загальної середньої освіти «Нова українська школа»</t>
  </si>
  <si>
    <t>Капітальний ремонт фрагменту фасаду з влаштуванням системи скріпленої теплоізоляції головного входу до адміністративних приміщень за адресою вул. Шевченка, 24 с. Березівка Івано-Франківська ОТГ</t>
  </si>
  <si>
    <t>Вибірковий капітальний ремонт дорожнього покриття по вул. Шевченка в с. Підлужжя Тисменицького району (від мосту через річку Ворона до перехрестя з вул. Пушкіна</t>
  </si>
  <si>
    <t>0218230</t>
  </si>
  <si>
    <t>8230</t>
  </si>
  <si>
    <t>0380</t>
  </si>
  <si>
    <t>Інші заходи громадського порядку та безпеки</t>
  </si>
  <si>
    <t>Викуп квартири №1 в будинку №51-А  по вул. Сонячній в м. Івано-Франківську</t>
  </si>
  <si>
    <t>Буріння розвідувально-екплуатаційної свердловини для технічного водопостачання на стадіоні в с. Черніїв Івано-Франківської ОТГ</t>
  </si>
  <si>
    <t>Чистка русла та берегоукріплення р. Млинівка по вул. Сагайдачного в с. Черніїв Івано-Франківської ОТГ</t>
  </si>
  <si>
    <t>Влаштування заїзду до урочища «Вільшина» в с. Черніїв Івано-Франківської ОТГ</t>
  </si>
  <si>
    <t>Відновлення зруйнованого переїзду через р. Млинівка по вул. Тараса Шевченка в с. Черніїв Івано-Франківської ОТГ</t>
  </si>
  <si>
    <t>Капітальний ремонт (відновлення) зруйнованого повністю берегоукріплення р. Млинівка по вул. Злуки в с. Черніїв</t>
  </si>
  <si>
    <t>1617310</t>
  </si>
  <si>
    <t>Капітальний ремонт огорожі палісадника поруч будинку №1 по вул. К. Данила в м. Івано-Франківську</t>
  </si>
  <si>
    <t>1617330</t>
  </si>
  <si>
    <t>Виготовлення пам'ятників</t>
  </si>
  <si>
    <t>3100000</t>
  </si>
  <si>
    <t>3110000</t>
  </si>
  <si>
    <t xml:space="preserve">Департамент комунальних ресурсів </t>
  </si>
  <si>
    <t>3110160</t>
  </si>
  <si>
    <t>Субвенція обласному бюджету на нове будівництво навчально-виховного комплексу з використанням незавершеної будівництвом середньої школи на 11 класів в с. Чукалівка Тисменицького району Івано-Франківської області</t>
  </si>
  <si>
    <t>Капітальний ремонт приміщень Вовчинецької ЗШ (субвенція з с. Вовчинець)</t>
  </si>
  <si>
    <t>Субвенція з обласного бюджету на здійснення матеріально-технічної бази КНП «Центральна міська клінічна лікарня Івано-Франківської міської ради</t>
  </si>
  <si>
    <t>Придбання електродіагностистичного спірометричного апарату для КНП ЦПМ КДД СП МП№1 лікарська амбулаторія у с. Хриплин (субвенція з с. Хриплин)</t>
  </si>
  <si>
    <t>Придбання книг для бібліотеки с. Хриплин (субвенція з с. Хриплин)</t>
  </si>
  <si>
    <t>Субвенція з обласного на відновлення питних джерел в історичному середмісті Івано-Франківська (Програма розвитку місцевого самоврядування в Івано-Франківській області на 2016-2020 роки)</t>
  </si>
  <si>
    <t>Субвенція з обласного бюджету на будівництво храму Всіх Святих Українського Народу в м. Івано-Франківську по вул. Українських Декабристів</t>
  </si>
  <si>
    <t>Субвенція з обласного бюджету на будівництво храму "Святителя Василія Великого" ПЦУ в районі вул. Галицька-Витвицького біля дамби р. Бистриця-Солотвинська в м. Івано-Франківську</t>
  </si>
  <si>
    <t>Субвенція з обласного бюджету на будівництво Собору св. Володимира і Ольги в м. Івано-Франківську по вул. Вовчинецькій</t>
  </si>
  <si>
    <t>Субвенція з обласного бюджету на капітальний ремонт церкви Різдва Пресвятої Богородиці УАПЦ в с. Хриплин Івано-Франківської міської ради</t>
  </si>
  <si>
    <t>Субвенція з обласного бюджету на капітальний ремонт церкви Святого Микити УГКЦ в с. Микитинці Івано-Франківської міської ради</t>
  </si>
  <si>
    <t>Субвенція з обласного бюджету на капітальний ремонт церкви Святої Параскеви Великомучениці УГКЦ в с. Хриплин Івано-Франківської міської ради</t>
  </si>
  <si>
    <t>Субвенція з обласного бюджету капітальний ремонт храму Святителя Миколая Івано-Франківської Галицької єпархії ПЦУ в м. Івано-Франківську</t>
  </si>
  <si>
    <t>Субвенція з обласного бюджету на капітальний ремонт церкви Христа Чоловіколюбця і Блаженних М учеників Григорія Хомишина, Симеона Лукача та Івана Слезюка на вул. Ленкавського, 17-В у м. Івано-Франківську</t>
  </si>
  <si>
    <t>Субвенція з обласного бюджету на капітальний ремонт храму Святого Великомученика Юрія УГКЦ в с. Угорники Івано-Франківської міської ради</t>
  </si>
  <si>
    <t>Субвенція з обласного бюджету на капітальний ремонт храму "Святого Духа" м. Івано-Франківськ, вул. Пасічна, 41 "в"</t>
  </si>
  <si>
    <t>Субвенція з обласного бюджету на будівництво храму Покрови Пресвятої Богородиці по вул. Крихівецькій 97а с. Крихівці Івано-Франківської міської ради</t>
  </si>
  <si>
    <t>0813221</t>
  </si>
  <si>
    <t>3221</t>
  </si>
  <si>
    <t>1060</t>
  </si>
  <si>
    <t>Грошова компенсація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</si>
  <si>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0813223</t>
  </si>
  <si>
    <t>3223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</si>
  <si>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I-II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</si>
  <si>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Капітальний ремонт інженерних мереж</t>
  </si>
  <si>
    <t>Субвенція з державного бюджету на створення навчально-практичних центрів сучасної професійної (професійно-технічної) освіти</t>
  </si>
  <si>
    <t>0717369</t>
  </si>
  <si>
    <t>7369</t>
  </si>
  <si>
    <t>0710</t>
  </si>
  <si>
    <t>Реалізація проектів з реконструкції, капітального ремонту приймальних відділень в опорних закладах охорони здоров'я у госпітальних округах</t>
  </si>
  <si>
    <t>Субвенція з місцевого бюджету на реалізацію проектів з реконструкції, капітального ремонту приймальних відділень в опорних закладах охорони здоров'я у госпітальних округах за рахунок відповідної субвенції з державного бюджету (Реконструкція з добудовою відділення екстреної медичної допомоги КНП ЦМКЛ)</t>
  </si>
  <si>
    <t>Влаштування тротуарного покриття за адресою с. Березівка, вулиця Шевченка, 24</t>
  </si>
  <si>
    <t>Комплексна програма профілактики злочинності в місті до 2024 року</t>
  </si>
  <si>
    <t>1216086</t>
  </si>
  <si>
    <t>Співфінансування придбання житла для внутрішньо переміщених осіб за рахунок коштів державної субвенції місцевим бюджетам на здійснення заходів щодо підтримки територій, що зазнали негативного впливу внаслідок збройного конфлікту на сході України</t>
  </si>
  <si>
    <t>Капітальний ремонт санвузлів ГУНП в Івано-Франківській області по вул. Січинського, 5б</t>
  </si>
  <si>
    <t>Капітальний ремонт елементів фасаду ДНЗ №18 "Зернятко" по вул. Івана Павла ІІ, 14 в м. Івано-Франківську</t>
  </si>
  <si>
    <t>Капітальний ремонт елементів фасаду ДНЗ №36 "Віночок" по вул. Целевича, 16а в м. Івано-Франківську</t>
  </si>
  <si>
    <t>Капітальний ремонт покрівлі даху ліцею №22 Івано-Франківської міської ради на вул. Івана Павла ІІ, 24</t>
  </si>
  <si>
    <t>Влаштування підсвітки вежі на вул. Незалежності, 9 у м. Івано-Франківську</t>
  </si>
  <si>
    <t>Субвенція на розвиток села Тисменичани</t>
  </si>
  <si>
    <t>Субвенція на розвиток села Камінне</t>
  </si>
  <si>
    <t>Субвенція на розвиток села Чукалівка</t>
  </si>
  <si>
    <t>Субвенція на розвиток села Радча</t>
  </si>
  <si>
    <t>Субвенція обласному бюджету на капітальний ремонт НВК по вул. Шевченка, 72 в с. Братківці Тисменицького району Івано-Франківської області</t>
  </si>
  <si>
    <t>Субвенція з обласного бюджету на зміцнення матеріально-технічної бази Івано-Франківської ЗОШ №5 (придбання комп’ютерного обладнання і обладнання для харчоблоку)</t>
  </si>
  <si>
    <t>Субвенція з обласного на виконання Програми місцевого самоврядування проєкт "Громада кращого довкілля с. Черніїв</t>
  </si>
  <si>
    <r>
      <t xml:space="preserve">Внески в статутний фонд </t>
    </r>
    <r>
      <rPr>
        <b/>
        <sz val="14"/>
        <rFont val="Times New Roman"/>
        <family val="1"/>
        <charset val="204"/>
      </rPr>
      <t>КП "Івано-Франківськводоекотехпром"</t>
    </r>
    <r>
      <rPr>
        <sz val="14"/>
        <rFont val="Times New Roman"/>
        <family val="1"/>
        <charset val="204"/>
      </rPr>
      <t xml:space="preserve"> для формування фонду власних оборотних засобів і засобів обігу </t>
    </r>
  </si>
  <si>
    <t>Субвенція з місцевого бюджету на забезпечення подачею кисню ліжкового фонду закладів  охорони здоров’я, які надають стаціонарну медичну допомогу пацієнтам з гострою респіраторною хворобою COVID-19, спричиненою короновірусом  SARS-CoV-2, за рахунок  відповідної субвенції з державного бюджету для КНП ЦМКЛ Івано-Франківської міської ради</t>
  </si>
  <si>
    <t>Субвенція з місцевого бюджету на забезпечення подачею кисню ліжкового фонду закладів  охорони здоров’я, які надають стаціонарну медичну допомогу пацієнтам з гострою респіраторною хворобою COVID-19, спричиненою короновірусом  SARS-CoV-2, за рахунок  відповідної субвенції з державного бюджету для КНП МКЛ №1 Івано-Франківської міської ради</t>
  </si>
  <si>
    <t>Субвенція на розвиток села Узин</t>
  </si>
  <si>
    <t>Субвенція з обласного бюджету на закупівлю обладнання, інвентарю для фізкультурно-спортивних приміщень, засобів навчання, у т.ч. навчально-методичної та  навчальної літератури, зошитів з друкованою основою для закладів загальної середньої освіти, що беруть участь у експерименті з реалізації Державного стандарту початкової освіти ПШ №9</t>
  </si>
  <si>
    <t>Придбання сушильної машини для ДНЗ №32 «Солов’ятко» (субвенція з с. Угорники)</t>
  </si>
  <si>
    <t>Придбання україномовної літератури для бібліотеки-філії №11 в с. Угорники (субвенція з с. Угорники)</t>
  </si>
  <si>
    <t>Субвенція з обласного бюджету на виконання заходів регіональної цільової програми «Духовне життя» на 2016 – 2020 роки (для монастиря ЗВС УГКЦ вул. Вербова, 32А в с. Крихівці Івано-Франківської міської ради (нове будівництво дошкільного навчального закладу «Християнський дитячий садок» Ковчег» в с. Крихівці)</t>
  </si>
  <si>
    <t>Капітальний ремонт даху (пошкодженого внаслідок стихії) Будинку смутку по вул. Ребета, 3 в м. Івано-Франківську (резервний фонд)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</si>
  <si>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</si>
  <si>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0816083</t>
  </si>
  <si>
    <t>6083</t>
  </si>
  <si>
    <t>Проект "Транскордонна зелена транспортна мережа" в рамках програми транскордонного співробіництва Угорщина-Словаччина-Румунія-Україна 2014-2020 рр.</t>
  </si>
  <si>
    <t>Придбання медичного обладнання (кисневих концентратів) для КНП МДКЛ (Резервний фонд)</t>
  </si>
  <si>
    <t>Придбання медичного обладнання (кисневих концентратів) (Резервний фонд)</t>
  </si>
  <si>
    <t>Співфінансування проектів рамках програми транскордонного співробітництва Румунія -Україна 2014-2020  "Назад до наших спільних коренів"</t>
  </si>
  <si>
    <t>Співфінансування проекту програми прикордонного співробітництва "Україна-Румунія" "STEM-освіта у професійних училищах та спеціалізованих школах"</t>
  </si>
  <si>
    <t>Придбання інтерактивної панелі для Хриплинської гімназії (субвенція з с. Хриплин)</t>
  </si>
  <si>
    <t>Реконструкція спортивних споруд та майданчиків Братковецької ЗОШ І-ІІІ ступенів на вул. Шевченка, 89 в с. Братківці Івано-Франківської ОТГ</t>
  </si>
  <si>
    <t>Віктор Синишин</t>
  </si>
  <si>
    <t>Секретар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</si>
</sst>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5" x14ac:knownFonts="1">
    <font>
      <sz val="10"/>
      <name val="Times New Roman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sz val="14"/>
      <name val="Arial Cyr"/>
      <charset val="204"/>
    </font>
    <font>
      <i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7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190">
    <xf numFmtId="0" fontId="0" fillId="0" borderId="0" xfId="0"/>
    <xf numFmtId="0" fontId="3" fillId="2" borderId="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left" vertical="center" wrapText="1"/>
    </xf>
    <xf numFmtId="0" fontId="1" fillId="2" borderId="1" xfId="1" applyNumberFormat="1" applyFont="1" applyFill="1" applyBorder="1" applyAlignment="1">
      <alignment vertical="center" wrapText="1"/>
    </xf>
    <xf numFmtId="0" fontId="1" fillId="2" borderId="1" xfId="1" applyFont="1" applyFill="1" applyBorder="1" applyAlignment="1">
      <alignment horizontal="left" vertical="center" wrapText="1" shrinkToFit="1"/>
    </xf>
    <xf numFmtId="0" fontId="1" fillId="2" borderId="1" xfId="1" applyNumberFormat="1" applyFont="1" applyFill="1" applyBorder="1" applyAlignment="1">
      <alignment horizontal="left" vertical="center" wrapText="1" shrinkToFit="1"/>
    </xf>
    <xf numFmtId="0" fontId="1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 shrinkToFit="1"/>
    </xf>
    <xf numFmtId="0" fontId="1" fillId="2" borderId="1" xfId="0" applyNumberFormat="1" applyFont="1" applyFill="1" applyBorder="1" applyAlignment="1">
      <alignment horizontal="left" vertical="center" wrapText="1" shrinkToFit="1"/>
    </xf>
    <xf numFmtId="0" fontId="2" fillId="2" borderId="0" xfId="0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3" fontId="10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3" fontId="1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49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 shrinkToFit="1"/>
    </xf>
    <xf numFmtId="0" fontId="1" fillId="2" borderId="0" xfId="0" applyFont="1" applyFill="1" applyAlignment="1">
      <alignment horizontal="left" vertical="center" wrapText="1" shrinkToFit="1"/>
    </xf>
    <xf numFmtId="0" fontId="1" fillId="2" borderId="0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 wrapText="1" shrinkToFit="1"/>
    </xf>
    <xf numFmtId="49" fontId="3" fillId="2" borderId="1" xfId="0" applyNumberFormat="1" applyFont="1" applyFill="1" applyBorder="1" applyAlignment="1" applyProtection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 shrinkToFi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 shrinkToFit="1"/>
    </xf>
    <xf numFmtId="0" fontId="3" fillId="2" borderId="0" xfId="0" applyFont="1" applyFill="1" applyAlignment="1">
      <alignment vertical="center" wrapText="1" shrinkToFit="1"/>
    </xf>
    <xf numFmtId="49" fontId="3" fillId="2" borderId="1" xfId="0" applyNumberFormat="1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left" vertical="center" wrapText="1" shrinkToFit="1"/>
    </xf>
    <xf numFmtId="3" fontId="3" fillId="2" borderId="1" xfId="0" applyNumberFormat="1" applyFont="1" applyFill="1" applyBorder="1" applyAlignment="1">
      <alignment horizontal="center" vertical="center" wrapText="1" shrinkToFit="1"/>
    </xf>
    <xf numFmtId="49" fontId="3" fillId="2" borderId="1" xfId="0" applyNumberFormat="1" applyFont="1" applyFill="1" applyBorder="1" applyAlignment="1">
      <alignment horizontal="left" vertical="center" wrapText="1" shrinkToFit="1"/>
    </xf>
    <xf numFmtId="3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3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1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0" fontId="1" fillId="2" borderId="1" xfId="2" applyNumberFormat="1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horizontal="center" vertical="center" wrapText="1" shrinkToFit="1"/>
    </xf>
    <xf numFmtId="0" fontId="3" fillId="2" borderId="0" xfId="0" applyFont="1" applyFill="1" applyAlignment="1">
      <alignment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 shrinkToFit="1"/>
    </xf>
    <xf numFmtId="0" fontId="3" fillId="2" borderId="1" xfId="2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 shrinkToFit="1"/>
    </xf>
    <xf numFmtId="3" fontId="1" fillId="2" borderId="1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vertical="center" wrapText="1" shrinkToFit="1"/>
    </xf>
    <xf numFmtId="3" fontId="2" fillId="2" borderId="1" xfId="0" applyNumberFormat="1" applyFont="1" applyFill="1" applyBorder="1" applyAlignment="1">
      <alignment horizontal="center" vertical="center" wrapText="1" shrinkToFit="1"/>
    </xf>
    <xf numFmtId="0" fontId="10" fillId="2" borderId="0" xfId="0" applyFont="1" applyFill="1" applyBorder="1" applyAlignment="1">
      <alignment vertical="center"/>
    </xf>
    <xf numFmtId="165" fontId="1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1" fillId="2" borderId="1" xfId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 shrinkToFit="1"/>
    </xf>
    <xf numFmtId="0" fontId="1" fillId="2" borderId="1" xfId="0" applyNumberFormat="1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 shrinkToFit="1"/>
    </xf>
    <xf numFmtId="3" fontId="5" fillId="2" borderId="1" xfId="0" applyNumberFormat="1" applyFont="1" applyFill="1" applyBorder="1" applyAlignment="1">
      <alignment horizontal="center" vertical="center" wrapText="1" shrinkToFit="1"/>
    </xf>
    <xf numFmtId="0" fontId="5" fillId="2" borderId="0" xfId="0" applyFont="1" applyFill="1" applyBorder="1" applyAlignment="1">
      <alignment vertical="center" wrapText="1" shrinkToFit="1"/>
    </xf>
    <xf numFmtId="0" fontId="5" fillId="2" borderId="0" xfId="0" applyFont="1" applyFill="1" applyAlignment="1">
      <alignment vertical="center" wrapText="1" shrinkToFi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 shrinkToFit="1"/>
    </xf>
    <xf numFmtId="49" fontId="4" fillId="2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 shrinkToFit="1"/>
    </xf>
    <xf numFmtId="0" fontId="4" fillId="2" borderId="7" xfId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 shrinkToFit="1"/>
    </xf>
    <xf numFmtId="49" fontId="4" fillId="2" borderId="1" xfId="1" applyNumberFormat="1" applyFont="1" applyFill="1" applyBorder="1" applyAlignment="1">
      <alignment horizontal="left" vertical="center" wrapText="1" shrinkToFit="1"/>
    </xf>
    <xf numFmtId="49" fontId="4" fillId="2" borderId="5" xfId="0" applyNumberFormat="1" applyFont="1" applyFill="1" applyBorder="1" applyAlignment="1">
      <alignment horizontal="center" vertical="center" wrapText="1" shrinkToFit="1"/>
    </xf>
    <xf numFmtId="0" fontId="4" fillId="2" borderId="1" xfId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vertical="center" wrapText="1"/>
    </xf>
    <xf numFmtId="0" fontId="4" fillId="2" borderId="1" xfId="2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vertical="center" wrapText="1"/>
    </xf>
    <xf numFmtId="0" fontId="4" fillId="2" borderId="1" xfId="2" applyNumberFormat="1" applyFont="1" applyFill="1" applyBorder="1" applyAlignment="1">
      <alignment vertical="center" wrapText="1"/>
    </xf>
    <xf numFmtId="3" fontId="10" fillId="2" borderId="0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 shrinkToFit="1"/>
    </xf>
    <xf numFmtId="3" fontId="1" fillId="2" borderId="0" xfId="0" applyNumberFormat="1" applyFont="1" applyFill="1" applyBorder="1" applyAlignment="1">
      <alignment vertical="center"/>
    </xf>
    <xf numFmtId="0" fontId="1" fillId="2" borderId="5" xfId="0" applyNumberFormat="1" applyFont="1" applyFill="1" applyBorder="1" applyAlignment="1">
      <alignment horizontal="left" vertical="center" wrapText="1"/>
    </xf>
    <xf numFmtId="0" fontId="1" fillId="2" borderId="0" xfId="0" applyFont="1" applyFill="1"/>
    <xf numFmtId="0" fontId="1" fillId="2" borderId="1" xfId="0" applyNumberFormat="1" applyFont="1" applyFill="1" applyBorder="1" applyAlignment="1">
      <alignment horizontal="left" vertical="top" wrapText="1"/>
    </xf>
    <xf numFmtId="3" fontId="4" fillId="2" borderId="0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 wrapText="1" shrinkToFit="1"/>
    </xf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wrapText="1" shrinkToFi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 wrapText="1" shrinkToFit="1"/>
    </xf>
    <xf numFmtId="0" fontId="10" fillId="2" borderId="0" xfId="0" applyFont="1" applyFill="1" applyBorder="1" applyAlignment="1">
      <alignment horizontal="center" vertical="center" wrapText="1" shrinkToFit="1"/>
    </xf>
    <xf numFmtId="0" fontId="10" fillId="2" borderId="0" xfId="0" applyFont="1" applyFill="1" applyBorder="1" applyAlignment="1">
      <alignment vertical="center" wrapText="1" shrinkToFit="1"/>
    </xf>
    <xf numFmtId="0" fontId="10" fillId="2" borderId="0" xfId="0" applyFont="1" applyFill="1" applyAlignment="1">
      <alignment vertical="center" wrapText="1" shrinkToFit="1"/>
    </xf>
    <xf numFmtId="49" fontId="4" fillId="2" borderId="6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 shrinkToFit="1"/>
    </xf>
    <xf numFmtId="0" fontId="9" fillId="2" borderId="0" xfId="0" applyFont="1" applyFill="1" applyBorder="1" applyAlignment="1">
      <alignment horizontal="center" vertical="center" wrapText="1" shrinkToFit="1"/>
    </xf>
    <xf numFmtId="0" fontId="9" fillId="2" borderId="0" xfId="0" applyFont="1" applyFill="1" applyBorder="1" applyAlignment="1">
      <alignment vertical="center" wrapText="1" shrinkToFit="1"/>
    </xf>
    <xf numFmtId="0" fontId="9" fillId="2" borderId="0" xfId="0" applyFont="1" applyFill="1" applyAlignment="1">
      <alignment vertical="center" wrapText="1" shrinkToFit="1"/>
    </xf>
    <xf numFmtId="49" fontId="3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 wrapText="1" shrinkToFit="1"/>
    </xf>
    <xf numFmtId="49" fontId="3" fillId="2" borderId="1" xfId="1" applyNumberFormat="1" applyFont="1" applyFill="1" applyBorder="1" applyAlignment="1">
      <alignment horizontal="left" vertical="center" wrapText="1"/>
    </xf>
    <xf numFmtId="49" fontId="4" fillId="2" borderId="6" xfId="1" applyNumberFormat="1" applyFont="1" applyFill="1" applyBorder="1" applyAlignment="1">
      <alignment horizontal="center" vertical="center"/>
    </xf>
    <xf numFmtId="49" fontId="4" fillId="2" borderId="1" xfId="1" applyNumberFormat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vertical="center" wrapText="1" shrinkToFit="1"/>
    </xf>
    <xf numFmtId="49" fontId="4" fillId="2" borderId="1" xfId="1" applyNumberFormat="1" applyFont="1" applyFill="1" applyBorder="1" applyAlignment="1">
      <alignment horizontal="center" vertical="center" wrapText="1" shrinkToFit="1"/>
    </xf>
    <xf numFmtId="49" fontId="4" fillId="2" borderId="5" xfId="1" applyNumberFormat="1" applyFont="1" applyFill="1" applyBorder="1" applyAlignment="1">
      <alignment horizontal="center" vertical="center" wrapText="1" shrinkToFit="1"/>
    </xf>
    <xf numFmtId="0" fontId="4" fillId="2" borderId="1" xfId="1" applyFont="1" applyFill="1" applyBorder="1" applyAlignment="1">
      <alignment horizontal="center" vertical="center" wrapText="1"/>
    </xf>
    <xf numFmtId="3" fontId="10" fillId="2" borderId="0" xfId="0" applyNumberFormat="1" applyFont="1" applyFill="1" applyBorder="1" applyAlignment="1">
      <alignment vertical="center" wrapText="1" shrinkToFit="1"/>
    </xf>
    <xf numFmtId="0" fontId="1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3" fontId="1" fillId="2" borderId="0" xfId="0" applyNumberFormat="1" applyFont="1" applyFill="1" applyAlignment="1">
      <alignment horizontal="center" vertical="center"/>
    </xf>
    <xf numFmtId="0" fontId="1" fillId="2" borderId="1" xfId="1" applyFont="1" applyFill="1" applyBorder="1" applyAlignment="1">
      <alignment vertical="center" wrapText="1" shrinkToFit="1"/>
    </xf>
    <xf numFmtId="0" fontId="1" fillId="2" borderId="5" xfId="0" applyFont="1" applyFill="1" applyBorder="1" applyAlignment="1">
      <alignment horizontal="left" vertical="center" wrapText="1" shrinkToFit="1"/>
    </xf>
    <xf numFmtId="0" fontId="13" fillId="0" borderId="1" xfId="0" applyFont="1" applyFill="1" applyBorder="1" applyAlignment="1">
      <alignment vertical="center" wrapText="1" shrinkToFit="1"/>
    </xf>
    <xf numFmtId="49" fontId="4" fillId="3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3" fontId="10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vertical="center" wrapText="1" shrinkToFit="1"/>
    </xf>
    <xf numFmtId="0" fontId="1" fillId="0" borderId="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left" vertical="center" wrapText="1"/>
    </xf>
    <xf numFmtId="3" fontId="1" fillId="2" borderId="0" xfId="0" applyNumberFormat="1" applyFont="1" applyFill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 shrinkToFit="1"/>
    </xf>
    <xf numFmtId="3" fontId="4" fillId="0" borderId="1" xfId="0" applyNumberFormat="1" applyFont="1" applyFill="1" applyBorder="1" applyAlignment="1">
      <alignment horizontal="center" vertical="center" wrapText="1" shrinkToFit="1"/>
    </xf>
    <xf numFmtId="3" fontId="1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wrapText="1" shrinkToFit="1"/>
    </xf>
    <xf numFmtId="3" fontId="3" fillId="0" borderId="1" xfId="0" applyNumberFormat="1" applyFont="1" applyFill="1" applyBorder="1" applyAlignment="1">
      <alignment horizontal="center" vertical="center" wrapText="1" shrinkToFit="1"/>
    </xf>
    <xf numFmtId="3" fontId="1" fillId="0" borderId="1" xfId="0" applyNumberFormat="1" applyFont="1" applyFill="1" applyBorder="1" applyAlignment="1">
      <alignment horizontal="center" vertical="center" wrapText="1" shrinkToFit="1"/>
    </xf>
    <xf numFmtId="3" fontId="2" fillId="0" borderId="1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49" fontId="11" fillId="2" borderId="0" xfId="0" applyNumberFormat="1" applyFont="1" applyFill="1" applyAlignment="1">
      <alignment horizontal="center" vertical="center"/>
    </xf>
    <xf numFmtId="49" fontId="12" fillId="2" borderId="0" xfId="0" applyNumberFormat="1" applyFont="1" applyFill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 wrapText="1" shrinkToFit="1"/>
    </xf>
  </cellXfs>
  <cellStyles count="3">
    <cellStyle name="Обычный" xfId="0" builtinId="0"/>
    <cellStyle name="Обычный 2" xfId="1"/>
    <cellStyle name="Обычный_Лист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21"/>
  <sheetViews>
    <sheetView showZeros="0" tabSelected="1" zoomScale="60" zoomScaleNormal="60" workbookViewId="0">
      <pane ySplit="7" topLeftCell="A410" activePane="bottomLeft" state="frozen"/>
      <selection pane="bottomLeft" activeCell="G420" sqref="G420"/>
    </sheetView>
  </sheetViews>
  <sheetFormatPr defaultRowHeight="18.75" x14ac:dyDescent="0.2"/>
  <cols>
    <col min="1" max="3" width="33.6640625" style="21" customWidth="1"/>
    <col min="4" max="4" width="70.1640625" style="21" customWidth="1"/>
    <col min="5" max="5" width="92.6640625" style="19" customWidth="1"/>
    <col min="6" max="7" width="34.5" style="147" customWidth="1"/>
    <col min="8" max="8" width="35.33203125" style="179" customWidth="1"/>
    <col min="9" max="9" width="20.1640625" style="15" bestFit="1" customWidth="1"/>
    <col min="10" max="10" width="22.1640625" style="15" customWidth="1"/>
    <col min="11" max="11" width="22.6640625" style="15" customWidth="1"/>
    <col min="12" max="12" width="9.33203125" style="15"/>
    <col min="13" max="13" width="25.1640625" style="15" customWidth="1"/>
    <col min="14" max="14" width="21.5" style="15" customWidth="1"/>
    <col min="15" max="15" width="9.33203125" style="15"/>
    <col min="16" max="16" width="25.83203125" style="15" customWidth="1"/>
    <col min="17" max="19" width="9.33203125" style="15"/>
    <col min="20" max="16384" width="9.33203125" style="18"/>
  </cols>
  <sheetData>
    <row r="1" spans="1:16" ht="22.5" x14ac:dyDescent="0.2">
      <c r="A1" s="187"/>
      <c r="B1" s="187"/>
      <c r="C1" s="187"/>
      <c r="D1" s="187"/>
      <c r="E1" s="187"/>
      <c r="F1" s="185" t="s">
        <v>175</v>
      </c>
      <c r="G1" s="185"/>
      <c r="H1" s="185"/>
      <c r="I1" s="16"/>
      <c r="J1" s="17"/>
    </row>
    <row r="2" spans="1:16" ht="21.75" x14ac:dyDescent="0.2">
      <c r="A2" s="188"/>
      <c r="B2" s="188"/>
      <c r="C2" s="188"/>
      <c r="D2" s="188"/>
      <c r="F2" s="185" t="s">
        <v>176</v>
      </c>
      <c r="G2" s="185"/>
      <c r="H2" s="185"/>
      <c r="I2" s="20"/>
    </row>
    <row r="3" spans="1:16" x14ac:dyDescent="0.2">
      <c r="F3" s="185" t="s">
        <v>177</v>
      </c>
      <c r="G3" s="185"/>
      <c r="H3" s="185"/>
      <c r="I3" s="20"/>
    </row>
    <row r="4" spans="1:16" x14ac:dyDescent="0.2">
      <c r="F4" s="22"/>
      <c r="G4" s="22"/>
      <c r="H4" s="162"/>
    </row>
    <row r="5" spans="1:16" ht="20.25" x14ac:dyDescent="0.2">
      <c r="A5" s="186" t="s">
        <v>231</v>
      </c>
      <c r="B5" s="186"/>
      <c r="C5" s="186"/>
      <c r="D5" s="186"/>
      <c r="E5" s="186"/>
      <c r="F5" s="186"/>
      <c r="G5" s="186"/>
      <c r="H5" s="186"/>
    </row>
    <row r="6" spans="1:16" x14ac:dyDescent="0.2">
      <c r="A6" s="23"/>
      <c r="B6" s="23"/>
      <c r="C6" s="23"/>
      <c r="D6" s="23"/>
      <c r="E6" s="24"/>
      <c r="F6" s="25"/>
      <c r="G6" s="25"/>
      <c r="H6" s="163"/>
    </row>
    <row r="7" spans="1:16" ht="168.75" x14ac:dyDescent="0.2">
      <c r="A7" s="26" t="s">
        <v>178</v>
      </c>
      <c r="B7" s="27" t="s">
        <v>179</v>
      </c>
      <c r="C7" s="27" t="s">
        <v>0</v>
      </c>
      <c r="D7" s="26" t="s">
        <v>180</v>
      </c>
      <c r="E7" s="28" t="s">
        <v>182</v>
      </c>
      <c r="F7" s="29" t="s">
        <v>181</v>
      </c>
      <c r="G7" s="30" t="s">
        <v>237</v>
      </c>
      <c r="H7" s="164" t="s">
        <v>238</v>
      </c>
    </row>
    <row r="8" spans="1:16" s="32" customFormat="1" ht="20.25" x14ac:dyDescent="0.2">
      <c r="A8" s="181" t="s">
        <v>184</v>
      </c>
      <c r="B8" s="181"/>
      <c r="C8" s="181"/>
      <c r="D8" s="181"/>
      <c r="E8" s="181"/>
      <c r="F8" s="181"/>
      <c r="G8" s="181"/>
      <c r="H8" s="181"/>
      <c r="I8" s="31"/>
      <c r="J8" s="31"/>
      <c r="K8" s="31"/>
      <c r="L8" s="31"/>
      <c r="M8" s="31"/>
      <c r="N8" s="31"/>
      <c r="O8" s="31"/>
      <c r="P8" s="31"/>
    </row>
    <row r="9" spans="1:16" x14ac:dyDescent="0.2">
      <c r="A9" s="33" t="s">
        <v>157</v>
      </c>
      <c r="B9" s="33"/>
      <c r="C9" s="33"/>
      <c r="D9" s="33" t="s">
        <v>158</v>
      </c>
      <c r="E9" s="8"/>
      <c r="F9" s="47">
        <f>F11</f>
        <v>159002</v>
      </c>
      <c r="G9" s="47">
        <f>G11</f>
        <v>0</v>
      </c>
      <c r="H9" s="165">
        <f t="shared" ref="H9:H12" si="0">F9+G9</f>
        <v>159002</v>
      </c>
    </row>
    <row r="10" spans="1:16" x14ac:dyDescent="0.2">
      <c r="A10" s="33" t="s">
        <v>159</v>
      </c>
      <c r="B10" s="33"/>
      <c r="C10" s="33"/>
      <c r="D10" s="54" t="s">
        <v>158</v>
      </c>
      <c r="E10" s="8"/>
      <c r="F10" s="62"/>
      <c r="G10" s="62"/>
      <c r="H10" s="166">
        <f t="shared" si="0"/>
        <v>0</v>
      </c>
    </row>
    <row r="11" spans="1:16" ht="56.25" x14ac:dyDescent="0.2">
      <c r="A11" s="37" t="s">
        <v>357</v>
      </c>
      <c r="B11" s="50" t="s">
        <v>4</v>
      </c>
      <c r="C11" s="50" t="s">
        <v>5</v>
      </c>
      <c r="D11" s="51" t="s">
        <v>6</v>
      </c>
      <c r="E11" s="63"/>
      <c r="F11" s="62">
        <f>SUM(F12:F12)</f>
        <v>159002</v>
      </c>
      <c r="G11" s="62">
        <f>SUM(G12:G12)</f>
        <v>0</v>
      </c>
      <c r="H11" s="166">
        <f t="shared" si="0"/>
        <v>159002</v>
      </c>
    </row>
    <row r="12" spans="1:16" ht="37.5" x14ac:dyDescent="0.2">
      <c r="A12" s="37"/>
      <c r="B12" s="37"/>
      <c r="C12" s="37"/>
      <c r="D12" s="38"/>
      <c r="E12" s="61" t="s">
        <v>377</v>
      </c>
      <c r="F12" s="62">
        <f>159002</f>
        <v>159002</v>
      </c>
      <c r="G12" s="62"/>
      <c r="H12" s="166">
        <f t="shared" si="0"/>
        <v>159002</v>
      </c>
    </row>
    <row r="13" spans="1:16" s="31" customFormat="1" ht="37.5" x14ac:dyDescent="0.2">
      <c r="A13" s="33" t="s">
        <v>137</v>
      </c>
      <c r="B13" s="33"/>
      <c r="C13" s="33"/>
      <c r="D13" s="29" t="s">
        <v>138</v>
      </c>
      <c r="E13" s="76"/>
      <c r="F13" s="30">
        <f>F15+F18+F22+F24+F27</f>
        <v>4524630</v>
      </c>
      <c r="G13" s="30">
        <f>G15+G18+G22+G24+G27</f>
        <v>210038</v>
      </c>
      <c r="H13" s="167">
        <f>F13+G13</f>
        <v>4734668</v>
      </c>
    </row>
    <row r="14" spans="1:16" s="31" customFormat="1" ht="37.5" x14ac:dyDescent="0.2">
      <c r="A14" s="33" t="s">
        <v>139</v>
      </c>
      <c r="B14" s="33"/>
      <c r="C14" s="33"/>
      <c r="D14" s="35" t="s">
        <v>138</v>
      </c>
      <c r="E14" s="76"/>
      <c r="F14" s="30"/>
      <c r="G14" s="30"/>
      <c r="H14" s="167"/>
    </row>
    <row r="15" spans="1:16" s="31" customFormat="1" x14ac:dyDescent="0.2">
      <c r="A15" s="37" t="s">
        <v>140</v>
      </c>
      <c r="B15" s="37" t="s">
        <v>96</v>
      </c>
      <c r="C15" s="37" t="s">
        <v>97</v>
      </c>
      <c r="D15" s="38" t="s">
        <v>83</v>
      </c>
      <c r="E15" s="8"/>
      <c r="F15" s="40">
        <f>SUM(F16:F17)</f>
        <v>1057719</v>
      </c>
      <c r="G15" s="40">
        <f>SUM(G16:G17)</f>
        <v>49990</v>
      </c>
      <c r="H15" s="168">
        <f>F15+G15</f>
        <v>1107709</v>
      </c>
    </row>
    <row r="16" spans="1:16" s="31" customFormat="1" x14ac:dyDescent="0.2">
      <c r="A16" s="37"/>
      <c r="B16" s="37"/>
      <c r="C16" s="37"/>
      <c r="D16" s="38"/>
      <c r="E16" s="61" t="s">
        <v>193</v>
      </c>
      <c r="F16" s="62">
        <v>978702</v>
      </c>
      <c r="G16" s="62">
        <f>49990</f>
        <v>49990</v>
      </c>
      <c r="H16" s="166">
        <f t="shared" ref="H16" si="1">F16+G16</f>
        <v>1028692</v>
      </c>
    </row>
    <row r="17" spans="1:8" s="32" customFormat="1" ht="37.5" x14ac:dyDescent="0.2">
      <c r="A17" s="33"/>
      <c r="B17" s="33"/>
      <c r="C17" s="33"/>
      <c r="D17" s="35"/>
      <c r="E17" s="77" t="s">
        <v>270</v>
      </c>
      <c r="F17" s="62">
        <v>79017</v>
      </c>
      <c r="G17" s="62"/>
      <c r="H17" s="166">
        <f>F17+G17</f>
        <v>79017</v>
      </c>
    </row>
    <row r="18" spans="1:8" s="31" customFormat="1" ht="75" x14ac:dyDescent="0.2">
      <c r="A18" s="37" t="s">
        <v>141</v>
      </c>
      <c r="B18" s="37" t="s">
        <v>50</v>
      </c>
      <c r="C18" s="37" t="s">
        <v>142</v>
      </c>
      <c r="D18" s="38" t="s">
        <v>246</v>
      </c>
      <c r="E18" s="8"/>
      <c r="F18" s="40">
        <f>SUM(F19:F21)</f>
        <v>3155399</v>
      </c>
      <c r="G18" s="40">
        <f>SUM(G19:G21)</f>
        <v>0</v>
      </c>
      <c r="H18" s="168">
        <f>F18+G18</f>
        <v>3155399</v>
      </c>
    </row>
    <row r="19" spans="1:8" s="31" customFormat="1" x14ac:dyDescent="0.2">
      <c r="A19" s="37"/>
      <c r="B19" s="37"/>
      <c r="C19" s="37"/>
      <c r="D19" s="38"/>
      <c r="E19" s="61" t="s">
        <v>193</v>
      </c>
      <c r="F19" s="62">
        <v>2767731</v>
      </c>
      <c r="G19" s="62"/>
      <c r="H19" s="166">
        <f t="shared" ref="H19:H20" si="2">F19+G19</f>
        <v>2767731</v>
      </c>
    </row>
    <row r="20" spans="1:8" s="31" customFormat="1" ht="37.5" x14ac:dyDescent="0.2">
      <c r="A20" s="37"/>
      <c r="B20" s="37"/>
      <c r="C20" s="37"/>
      <c r="D20" s="38"/>
      <c r="E20" s="77" t="s">
        <v>270</v>
      </c>
      <c r="F20" s="62">
        <v>147990</v>
      </c>
      <c r="G20" s="62"/>
      <c r="H20" s="166">
        <f t="shared" si="2"/>
        <v>147990</v>
      </c>
    </row>
    <row r="21" spans="1:8" s="32" customFormat="1" ht="37.5" x14ac:dyDescent="0.2">
      <c r="A21" s="33"/>
      <c r="B21" s="33"/>
      <c r="C21" s="33"/>
      <c r="D21" s="35"/>
      <c r="E21" s="77" t="s">
        <v>269</v>
      </c>
      <c r="F21" s="62">
        <v>239678</v>
      </c>
      <c r="G21" s="62"/>
      <c r="H21" s="166">
        <f>F21+G21</f>
        <v>239678</v>
      </c>
    </row>
    <row r="22" spans="1:8" s="32" customFormat="1" ht="75" x14ac:dyDescent="0.2">
      <c r="A22" s="37" t="s">
        <v>143</v>
      </c>
      <c r="B22" s="37" t="s">
        <v>144</v>
      </c>
      <c r="C22" s="37" t="s">
        <v>145</v>
      </c>
      <c r="D22" s="38" t="s">
        <v>247</v>
      </c>
      <c r="E22" s="8"/>
      <c r="F22" s="52">
        <f>SUM(F23:F23)</f>
        <v>191350</v>
      </c>
      <c r="G22" s="52">
        <f>SUM(G23:G23)</f>
        <v>0</v>
      </c>
      <c r="H22" s="169">
        <f t="shared" ref="H22:H28" si="3">F22+G22</f>
        <v>191350</v>
      </c>
    </row>
    <row r="23" spans="1:8" s="32" customFormat="1" x14ac:dyDescent="0.2">
      <c r="A23" s="33"/>
      <c r="B23" s="33"/>
      <c r="C23" s="33"/>
      <c r="D23" s="35"/>
      <c r="E23" s="61" t="s">
        <v>193</v>
      </c>
      <c r="F23" s="62">
        <f>191350</f>
        <v>191350</v>
      </c>
      <c r="G23" s="62"/>
      <c r="H23" s="166">
        <f t="shared" si="3"/>
        <v>191350</v>
      </c>
    </row>
    <row r="24" spans="1:8" s="32" customFormat="1" ht="56.25" x14ac:dyDescent="0.2">
      <c r="A24" s="37" t="s">
        <v>146</v>
      </c>
      <c r="B24" s="37" t="s">
        <v>52</v>
      </c>
      <c r="C24" s="37" t="s">
        <v>14</v>
      </c>
      <c r="D24" s="38" t="s">
        <v>248</v>
      </c>
      <c r="E24" s="8"/>
      <c r="F24" s="52">
        <f>SUM(F25:F26)</f>
        <v>25000</v>
      </c>
      <c r="G24" s="52">
        <f>SUM(G25:G26)</f>
        <v>160048</v>
      </c>
      <c r="H24" s="169">
        <f t="shared" si="3"/>
        <v>185048</v>
      </c>
    </row>
    <row r="25" spans="1:8" s="32" customFormat="1" x14ac:dyDescent="0.2">
      <c r="A25" s="33"/>
      <c r="B25" s="33"/>
      <c r="C25" s="33"/>
      <c r="D25" s="35"/>
      <c r="E25" s="61" t="s">
        <v>193</v>
      </c>
      <c r="F25" s="62"/>
      <c r="G25" s="62">
        <f>160048</f>
        <v>160048</v>
      </c>
      <c r="H25" s="166">
        <f t="shared" ref="H25" si="4">F25+G25</f>
        <v>160048</v>
      </c>
    </row>
    <row r="26" spans="1:8" s="32" customFormat="1" ht="37.5" x14ac:dyDescent="0.2">
      <c r="A26" s="33"/>
      <c r="B26" s="33"/>
      <c r="C26" s="33"/>
      <c r="D26" s="35"/>
      <c r="E26" s="77" t="s">
        <v>270</v>
      </c>
      <c r="F26" s="62">
        <f>25000</f>
        <v>25000</v>
      </c>
      <c r="G26" s="62"/>
      <c r="H26" s="166">
        <f t="shared" si="3"/>
        <v>25000</v>
      </c>
    </row>
    <row r="27" spans="1:8" s="32" customFormat="1" ht="56.25" x14ac:dyDescent="0.2">
      <c r="A27" s="37" t="s">
        <v>154</v>
      </c>
      <c r="B27" s="37" t="s">
        <v>155</v>
      </c>
      <c r="C27" s="37" t="s">
        <v>113</v>
      </c>
      <c r="D27" s="38" t="s">
        <v>156</v>
      </c>
      <c r="E27" s="8"/>
      <c r="F27" s="52">
        <f>SUM(F28:F28)</f>
        <v>95162</v>
      </c>
      <c r="G27" s="52">
        <f>SUM(G28:G28)</f>
        <v>0</v>
      </c>
      <c r="H27" s="169">
        <f t="shared" si="3"/>
        <v>95162</v>
      </c>
    </row>
    <row r="28" spans="1:8" s="32" customFormat="1" x14ac:dyDescent="0.2">
      <c r="A28" s="33"/>
      <c r="B28" s="33"/>
      <c r="C28" s="33"/>
      <c r="D28" s="35"/>
      <c r="E28" s="61" t="s">
        <v>193</v>
      </c>
      <c r="F28" s="62">
        <f>95162</f>
        <v>95162</v>
      </c>
      <c r="G28" s="62"/>
      <c r="H28" s="166">
        <f t="shared" si="3"/>
        <v>95162</v>
      </c>
    </row>
    <row r="29" spans="1:8" s="31" customFormat="1" x14ac:dyDescent="0.2">
      <c r="A29" s="43" t="s">
        <v>59</v>
      </c>
      <c r="B29" s="43"/>
      <c r="C29" s="43"/>
      <c r="D29" s="43" t="s">
        <v>60</v>
      </c>
      <c r="E29" s="76"/>
      <c r="F29" s="30">
        <f>F31+F33+F37+F35</f>
        <v>2977140</v>
      </c>
      <c r="G29" s="30">
        <f>G31+G33+G37+G35</f>
        <v>0</v>
      </c>
      <c r="H29" s="167">
        <f>F29+G29</f>
        <v>2977140</v>
      </c>
    </row>
    <row r="30" spans="1:8" s="31" customFormat="1" x14ac:dyDescent="0.2">
      <c r="A30" s="43" t="s">
        <v>61</v>
      </c>
      <c r="B30" s="43"/>
      <c r="C30" s="43"/>
      <c r="D30" s="46" t="s">
        <v>60</v>
      </c>
      <c r="E30" s="76"/>
      <c r="F30" s="30"/>
      <c r="G30" s="30"/>
      <c r="H30" s="167"/>
    </row>
    <row r="31" spans="1:8" s="31" customFormat="1" ht="37.5" x14ac:dyDescent="0.2">
      <c r="A31" s="50" t="s">
        <v>62</v>
      </c>
      <c r="B31" s="50" t="s">
        <v>63</v>
      </c>
      <c r="C31" s="50" t="s">
        <v>64</v>
      </c>
      <c r="D31" s="51" t="s">
        <v>65</v>
      </c>
      <c r="E31" s="8"/>
      <c r="F31" s="52">
        <f>SUM(F32:F32)</f>
        <v>42000</v>
      </c>
      <c r="G31" s="52">
        <f>SUM(G32:G32)</f>
        <v>0</v>
      </c>
      <c r="H31" s="169">
        <f t="shared" ref="H31:H38" si="5">F31+G31</f>
        <v>42000</v>
      </c>
    </row>
    <row r="32" spans="1:8" s="32" customFormat="1" ht="37.5" x14ac:dyDescent="0.2">
      <c r="A32" s="33"/>
      <c r="B32" s="33"/>
      <c r="C32" s="33"/>
      <c r="D32" s="35"/>
      <c r="E32" s="77" t="s">
        <v>269</v>
      </c>
      <c r="F32" s="62">
        <f>42000</f>
        <v>42000</v>
      </c>
      <c r="G32" s="62"/>
      <c r="H32" s="166">
        <f t="shared" si="5"/>
        <v>42000</v>
      </c>
    </row>
    <row r="33" spans="1:8" s="32" customFormat="1" ht="37.5" x14ac:dyDescent="0.2">
      <c r="A33" s="50" t="s">
        <v>66</v>
      </c>
      <c r="B33" s="50" t="s">
        <v>67</v>
      </c>
      <c r="C33" s="50" t="s">
        <v>68</v>
      </c>
      <c r="D33" s="51" t="s">
        <v>69</v>
      </c>
      <c r="E33" s="77"/>
      <c r="F33" s="52">
        <f>SUM(F34:F34)</f>
        <v>2511000</v>
      </c>
      <c r="G33" s="52">
        <f>SUM(G34:G34)</f>
        <v>0</v>
      </c>
      <c r="H33" s="169">
        <f t="shared" si="5"/>
        <v>2511000</v>
      </c>
    </row>
    <row r="34" spans="1:8" s="32" customFormat="1" ht="37.5" x14ac:dyDescent="0.2">
      <c r="A34" s="33"/>
      <c r="B34" s="33"/>
      <c r="C34" s="33"/>
      <c r="D34" s="35"/>
      <c r="E34" s="61" t="s">
        <v>194</v>
      </c>
      <c r="F34" s="62">
        <f>2511000</f>
        <v>2511000</v>
      </c>
      <c r="G34" s="62"/>
      <c r="H34" s="166">
        <f t="shared" si="5"/>
        <v>2511000</v>
      </c>
    </row>
    <row r="35" spans="1:8" s="32" customFormat="1" ht="37.5" x14ac:dyDescent="0.2">
      <c r="A35" s="50" t="s">
        <v>70</v>
      </c>
      <c r="B35" s="50" t="s">
        <v>71</v>
      </c>
      <c r="C35" s="50" t="s">
        <v>72</v>
      </c>
      <c r="D35" s="51" t="s">
        <v>73</v>
      </c>
      <c r="E35" s="77"/>
      <c r="F35" s="52">
        <f>SUM(F36:F36)</f>
        <v>285848</v>
      </c>
      <c r="G35" s="52">
        <f>SUM(G36:G36)</f>
        <v>0</v>
      </c>
      <c r="H35" s="169">
        <f t="shared" si="5"/>
        <v>285848</v>
      </c>
    </row>
    <row r="36" spans="1:8" s="32" customFormat="1" ht="37.5" x14ac:dyDescent="0.2">
      <c r="A36" s="57"/>
      <c r="B36" s="57"/>
      <c r="C36" s="57"/>
      <c r="D36" s="57"/>
      <c r="E36" s="61" t="s">
        <v>194</v>
      </c>
      <c r="F36" s="62">
        <f>285848</f>
        <v>285848</v>
      </c>
      <c r="G36" s="62"/>
      <c r="H36" s="166">
        <f t="shared" si="5"/>
        <v>285848</v>
      </c>
    </row>
    <row r="37" spans="1:8" s="32" customFormat="1" ht="37.5" x14ac:dyDescent="0.2">
      <c r="A37" s="78" t="s">
        <v>401</v>
      </c>
      <c r="B37" s="78" t="s">
        <v>402</v>
      </c>
      <c r="C37" s="78" t="s">
        <v>404</v>
      </c>
      <c r="D37" s="50" t="s">
        <v>403</v>
      </c>
      <c r="E37" s="77"/>
      <c r="F37" s="52">
        <f>SUM(F38:F38)</f>
        <v>138292</v>
      </c>
      <c r="G37" s="52">
        <f>SUM(G38:G38)</f>
        <v>0</v>
      </c>
      <c r="H37" s="169">
        <f t="shared" si="5"/>
        <v>138292</v>
      </c>
    </row>
    <row r="38" spans="1:8" s="32" customFormat="1" x14ac:dyDescent="0.2">
      <c r="A38" s="33"/>
      <c r="B38" s="33"/>
      <c r="C38" s="33"/>
      <c r="D38" s="35"/>
      <c r="E38" s="61" t="s">
        <v>422</v>
      </c>
      <c r="F38" s="62">
        <f>138292</f>
        <v>138292</v>
      </c>
      <c r="G38" s="62"/>
      <c r="H38" s="166">
        <f t="shared" si="5"/>
        <v>138292</v>
      </c>
    </row>
    <row r="39" spans="1:8" s="31" customFormat="1" ht="37.5" x14ac:dyDescent="0.2">
      <c r="A39" s="29">
        <v>1000000</v>
      </c>
      <c r="B39" s="33"/>
      <c r="C39" s="33"/>
      <c r="D39" s="33" t="s">
        <v>11</v>
      </c>
      <c r="E39" s="76"/>
      <c r="F39" s="30">
        <f>F41+F43+F45+F47</f>
        <v>140983</v>
      </c>
      <c r="G39" s="30">
        <f>G41+G43+G45+G47</f>
        <v>0</v>
      </c>
      <c r="H39" s="167">
        <f>F39+G39</f>
        <v>140983</v>
      </c>
    </row>
    <row r="40" spans="1:8" s="31" customFormat="1" ht="37.5" x14ac:dyDescent="0.2">
      <c r="A40" s="29">
        <v>1010000</v>
      </c>
      <c r="B40" s="33"/>
      <c r="C40" s="33"/>
      <c r="D40" s="54" t="s">
        <v>11</v>
      </c>
      <c r="E40" s="76"/>
      <c r="F40" s="30"/>
      <c r="G40" s="30"/>
      <c r="H40" s="167"/>
    </row>
    <row r="41" spans="1:8" s="31" customFormat="1" ht="37.5" x14ac:dyDescent="0.2">
      <c r="A41" s="38">
        <v>1011100</v>
      </c>
      <c r="B41" s="37" t="s">
        <v>13</v>
      </c>
      <c r="C41" s="37" t="s">
        <v>14</v>
      </c>
      <c r="D41" s="37" t="s">
        <v>251</v>
      </c>
      <c r="E41" s="8"/>
      <c r="F41" s="52">
        <f>SUM(F42:F42)</f>
        <v>24000</v>
      </c>
      <c r="G41" s="52">
        <f>SUM(G42:G42)</f>
        <v>0</v>
      </c>
      <c r="H41" s="169">
        <f t="shared" ref="H41:H52" si="6">F41+G41</f>
        <v>24000</v>
      </c>
    </row>
    <row r="42" spans="1:8" s="32" customFormat="1" ht="37.5" x14ac:dyDescent="0.2">
      <c r="A42" s="33"/>
      <c r="B42" s="33"/>
      <c r="C42" s="33"/>
      <c r="D42" s="35"/>
      <c r="E42" s="77" t="s">
        <v>270</v>
      </c>
      <c r="F42" s="62">
        <f>24000</f>
        <v>24000</v>
      </c>
      <c r="G42" s="62"/>
      <c r="H42" s="166">
        <f t="shared" si="6"/>
        <v>24000</v>
      </c>
    </row>
    <row r="43" spans="1:8" s="31" customFormat="1" x14ac:dyDescent="0.2">
      <c r="A43" s="38">
        <v>1014030</v>
      </c>
      <c r="B43" s="37" t="s">
        <v>258</v>
      </c>
      <c r="C43" s="37" t="s">
        <v>259</v>
      </c>
      <c r="D43" s="37" t="s">
        <v>260</v>
      </c>
      <c r="E43" s="8"/>
      <c r="F43" s="52">
        <f>SUM(F44:F44)</f>
        <v>9000</v>
      </c>
      <c r="G43" s="52">
        <f>SUM(G44:G44)</f>
        <v>0</v>
      </c>
      <c r="H43" s="169">
        <f t="shared" si="6"/>
        <v>9000</v>
      </c>
    </row>
    <row r="44" spans="1:8" s="32" customFormat="1" ht="37.5" x14ac:dyDescent="0.2">
      <c r="A44" s="57"/>
      <c r="B44" s="57"/>
      <c r="C44" s="57"/>
      <c r="D44" s="57"/>
      <c r="E44" s="77" t="s">
        <v>270</v>
      </c>
      <c r="F44" s="62">
        <f>9000</f>
        <v>9000</v>
      </c>
      <c r="G44" s="62"/>
      <c r="H44" s="166">
        <f t="shared" si="6"/>
        <v>9000</v>
      </c>
    </row>
    <row r="45" spans="1:8" s="31" customFormat="1" ht="56.25" x14ac:dyDescent="0.2">
      <c r="A45" s="38">
        <v>1014060</v>
      </c>
      <c r="B45" s="37" t="s">
        <v>15</v>
      </c>
      <c r="C45" s="37" t="s">
        <v>16</v>
      </c>
      <c r="D45" s="37" t="s">
        <v>17</v>
      </c>
      <c r="E45" s="8"/>
      <c r="F45" s="52">
        <f>SUM(F46:F46)</f>
        <v>12983</v>
      </c>
      <c r="G45" s="52">
        <f>SUM(G46:G46)</f>
        <v>0</v>
      </c>
      <c r="H45" s="169">
        <f t="shared" si="6"/>
        <v>12983</v>
      </c>
    </row>
    <row r="46" spans="1:8" s="32" customFormat="1" ht="37.5" x14ac:dyDescent="0.2">
      <c r="A46" s="33"/>
      <c r="B46" s="33"/>
      <c r="C46" s="33"/>
      <c r="D46" s="35"/>
      <c r="E46" s="77" t="s">
        <v>270</v>
      </c>
      <c r="F46" s="62">
        <f>12983</f>
        <v>12983</v>
      </c>
      <c r="G46" s="62"/>
      <c r="H46" s="166">
        <f t="shared" si="6"/>
        <v>12983</v>
      </c>
    </row>
    <row r="47" spans="1:8" s="31" customFormat="1" ht="37.5" x14ac:dyDescent="0.2">
      <c r="A47" s="38">
        <v>1014081</v>
      </c>
      <c r="B47" s="37" t="s">
        <v>217</v>
      </c>
      <c r="C47" s="37" t="s">
        <v>216</v>
      </c>
      <c r="D47" s="37" t="s">
        <v>215</v>
      </c>
      <c r="E47" s="8"/>
      <c r="F47" s="52">
        <f>SUM(F48:F48)</f>
        <v>95000</v>
      </c>
      <c r="G47" s="52">
        <f>SUM(G48:G48)</f>
        <v>0</v>
      </c>
      <c r="H47" s="169">
        <f t="shared" si="6"/>
        <v>95000</v>
      </c>
    </row>
    <row r="48" spans="1:8" s="32" customFormat="1" ht="37.5" x14ac:dyDescent="0.2">
      <c r="A48" s="33"/>
      <c r="B48" s="33"/>
      <c r="C48" s="33"/>
      <c r="D48" s="35"/>
      <c r="E48" s="77" t="s">
        <v>269</v>
      </c>
      <c r="F48" s="62">
        <f>95000</f>
        <v>95000</v>
      </c>
      <c r="G48" s="62"/>
      <c r="H48" s="166">
        <f t="shared" si="6"/>
        <v>95000</v>
      </c>
    </row>
    <row r="49" spans="1:19" s="49" customFormat="1" ht="37.5" x14ac:dyDescent="0.2">
      <c r="A49" s="33" t="s">
        <v>134</v>
      </c>
      <c r="B49" s="33"/>
      <c r="C49" s="33"/>
      <c r="D49" s="33" t="s">
        <v>135</v>
      </c>
      <c r="E49" s="35"/>
      <c r="F49" s="47">
        <f>F51</f>
        <v>49990</v>
      </c>
      <c r="G49" s="47">
        <f>G51</f>
        <v>0</v>
      </c>
      <c r="H49" s="165">
        <f t="shared" si="6"/>
        <v>49990</v>
      </c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</row>
    <row r="50" spans="1:19" s="49" customFormat="1" ht="37.5" x14ac:dyDescent="0.2">
      <c r="A50" s="33" t="s">
        <v>136</v>
      </c>
      <c r="B50" s="33"/>
      <c r="C50" s="33"/>
      <c r="D50" s="54" t="s">
        <v>135</v>
      </c>
      <c r="E50" s="35"/>
      <c r="F50" s="47"/>
      <c r="G50" s="47"/>
      <c r="H50" s="165">
        <f t="shared" si="6"/>
        <v>0</v>
      </c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</row>
    <row r="51" spans="1:19" s="81" customFormat="1" ht="37.5" x14ac:dyDescent="0.2">
      <c r="A51" s="79">
        <v>1115041</v>
      </c>
      <c r="B51" s="37" t="s">
        <v>115</v>
      </c>
      <c r="C51" s="37" t="s">
        <v>113</v>
      </c>
      <c r="D51" s="38" t="s">
        <v>114</v>
      </c>
      <c r="E51" s="53"/>
      <c r="F51" s="52">
        <f>SUM(F52:F52)</f>
        <v>49990</v>
      </c>
      <c r="G51" s="52">
        <f>SUM(G52:G52)</f>
        <v>0</v>
      </c>
      <c r="H51" s="169">
        <f t="shared" si="6"/>
        <v>49990</v>
      </c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</row>
    <row r="52" spans="1:19" ht="75" x14ac:dyDescent="0.2">
      <c r="A52" s="57"/>
      <c r="B52" s="58"/>
      <c r="C52" s="58"/>
      <c r="D52" s="59"/>
      <c r="E52" s="61" t="s">
        <v>232</v>
      </c>
      <c r="F52" s="62">
        <f>49990</f>
        <v>49990</v>
      </c>
      <c r="G52" s="62"/>
      <c r="H52" s="166">
        <f t="shared" si="6"/>
        <v>49990</v>
      </c>
    </row>
    <row r="53" spans="1:19" s="31" customFormat="1" ht="56.25" x14ac:dyDescent="0.2">
      <c r="A53" s="29">
        <v>1200000</v>
      </c>
      <c r="B53" s="33"/>
      <c r="C53" s="33"/>
      <c r="D53" s="33" t="s">
        <v>116</v>
      </c>
      <c r="E53" s="76"/>
      <c r="F53" s="30">
        <f>F55+F59+F69+F71</f>
        <v>14589147</v>
      </c>
      <c r="G53" s="30">
        <f>G55+G59+G69+G71</f>
        <v>1909464</v>
      </c>
      <c r="H53" s="167">
        <f>F53+G53</f>
        <v>16498611</v>
      </c>
    </row>
    <row r="54" spans="1:19" s="31" customFormat="1" ht="56.25" x14ac:dyDescent="0.2">
      <c r="A54" s="29">
        <v>1210000</v>
      </c>
      <c r="B54" s="33"/>
      <c r="C54" s="33"/>
      <c r="D54" s="54" t="s">
        <v>116</v>
      </c>
      <c r="E54" s="76"/>
      <c r="F54" s="30"/>
      <c r="G54" s="30"/>
      <c r="H54" s="167"/>
    </row>
    <row r="55" spans="1:19" s="31" customFormat="1" ht="37.5" x14ac:dyDescent="0.2">
      <c r="A55" s="37" t="s">
        <v>118</v>
      </c>
      <c r="B55" s="37" t="s">
        <v>119</v>
      </c>
      <c r="C55" s="37" t="s">
        <v>51</v>
      </c>
      <c r="D55" s="37" t="s">
        <v>120</v>
      </c>
      <c r="E55" s="36"/>
      <c r="F55" s="40">
        <f>SUM(F56:F58)</f>
        <v>344798</v>
      </c>
      <c r="G55" s="40">
        <f>SUM(G56:G58)</f>
        <v>0</v>
      </c>
      <c r="H55" s="168">
        <f t="shared" ref="H55:H81" si="7">F55+G55</f>
        <v>344798</v>
      </c>
    </row>
    <row r="56" spans="1:19" s="31" customFormat="1" x14ac:dyDescent="0.2">
      <c r="A56" s="37"/>
      <c r="B56" s="37"/>
      <c r="C56" s="37"/>
      <c r="D56" s="37"/>
      <c r="E56" s="61" t="s">
        <v>120</v>
      </c>
      <c r="F56" s="60">
        <f>200000</f>
        <v>200000</v>
      </c>
      <c r="G56" s="60"/>
      <c r="H56" s="166">
        <f t="shared" si="7"/>
        <v>200000</v>
      </c>
    </row>
    <row r="57" spans="1:19" s="32" customFormat="1" ht="37.5" x14ac:dyDescent="0.2">
      <c r="A57" s="37"/>
      <c r="B57" s="37"/>
      <c r="C57" s="37"/>
      <c r="D57" s="38"/>
      <c r="E57" s="77" t="s">
        <v>269</v>
      </c>
      <c r="F57" s="62">
        <f>8530+66268</f>
        <v>74798</v>
      </c>
      <c r="G57" s="62"/>
      <c r="H57" s="166">
        <f t="shared" si="7"/>
        <v>74798</v>
      </c>
    </row>
    <row r="58" spans="1:19" s="32" customFormat="1" ht="37.5" x14ac:dyDescent="0.2">
      <c r="A58" s="37"/>
      <c r="B58" s="37"/>
      <c r="C58" s="37"/>
      <c r="D58" s="38"/>
      <c r="E58" s="77" t="s">
        <v>270</v>
      </c>
      <c r="F58" s="62">
        <f>70000</f>
        <v>70000</v>
      </c>
      <c r="G58" s="62"/>
      <c r="H58" s="166">
        <f t="shared" si="7"/>
        <v>70000</v>
      </c>
    </row>
    <row r="59" spans="1:19" s="31" customFormat="1" x14ac:dyDescent="0.2">
      <c r="A59" s="37" t="s">
        <v>121</v>
      </c>
      <c r="B59" s="37" t="s">
        <v>28</v>
      </c>
      <c r="C59" s="37" t="s">
        <v>29</v>
      </c>
      <c r="D59" s="37" t="s">
        <v>21</v>
      </c>
      <c r="E59" s="36"/>
      <c r="F59" s="40">
        <f>SUM(F60:F68)</f>
        <v>5731033</v>
      </c>
      <c r="G59" s="40">
        <f>SUM(G60:G68)</f>
        <v>1669464</v>
      </c>
      <c r="H59" s="168">
        <f t="shared" si="7"/>
        <v>7400497</v>
      </c>
    </row>
    <row r="60" spans="1:19" s="31" customFormat="1" x14ac:dyDescent="0.2">
      <c r="A60" s="37"/>
      <c r="B60" s="37"/>
      <c r="C60" s="37"/>
      <c r="D60" s="37"/>
      <c r="E60" s="61" t="s">
        <v>196</v>
      </c>
      <c r="F60" s="60">
        <v>1587264</v>
      </c>
      <c r="G60" s="60"/>
      <c r="H60" s="166">
        <f t="shared" si="7"/>
        <v>1587264</v>
      </c>
    </row>
    <row r="61" spans="1:19" s="31" customFormat="1" x14ac:dyDescent="0.2">
      <c r="A61" s="37"/>
      <c r="B61" s="37"/>
      <c r="C61" s="37"/>
      <c r="D61" s="37"/>
      <c r="E61" s="61" t="s">
        <v>285</v>
      </c>
      <c r="F61" s="60">
        <v>99432</v>
      </c>
      <c r="G61" s="60"/>
      <c r="H61" s="166">
        <f t="shared" si="7"/>
        <v>99432</v>
      </c>
    </row>
    <row r="62" spans="1:19" s="32" customFormat="1" ht="37.5" x14ac:dyDescent="0.2">
      <c r="A62" s="37"/>
      <c r="B62" s="37"/>
      <c r="C62" s="37"/>
      <c r="D62" s="38"/>
      <c r="E62" s="61" t="s">
        <v>286</v>
      </c>
      <c r="F62" s="62">
        <v>2548803</v>
      </c>
      <c r="G62" s="62">
        <f>1484122</f>
        <v>1484122</v>
      </c>
      <c r="H62" s="166">
        <f t="shared" si="7"/>
        <v>4032925</v>
      </c>
    </row>
    <row r="63" spans="1:19" s="32" customFormat="1" x14ac:dyDescent="0.2">
      <c r="A63" s="37"/>
      <c r="B63" s="37"/>
      <c r="C63" s="37"/>
      <c r="D63" s="38"/>
      <c r="E63" s="61" t="s">
        <v>287</v>
      </c>
      <c r="F63" s="62">
        <v>257272</v>
      </c>
      <c r="G63" s="62"/>
      <c r="H63" s="166">
        <f t="shared" si="7"/>
        <v>257272</v>
      </c>
    </row>
    <row r="64" spans="1:19" s="32" customFormat="1" ht="37.5" x14ac:dyDescent="0.2">
      <c r="A64" s="37"/>
      <c r="B64" s="37"/>
      <c r="C64" s="37"/>
      <c r="D64" s="38"/>
      <c r="E64" s="82" t="s">
        <v>288</v>
      </c>
      <c r="F64" s="62">
        <v>35211</v>
      </c>
      <c r="G64" s="62"/>
      <c r="H64" s="166">
        <f t="shared" si="7"/>
        <v>35211</v>
      </c>
    </row>
    <row r="65" spans="1:8" s="32" customFormat="1" x14ac:dyDescent="0.2">
      <c r="A65" s="37"/>
      <c r="B65" s="37"/>
      <c r="C65" s="37"/>
      <c r="D65" s="38"/>
      <c r="E65" s="61" t="s">
        <v>290</v>
      </c>
      <c r="F65" s="62">
        <v>97884</v>
      </c>
      <c r="G65" s="62"/>
      <c r="H65" s="166">
        <f t="shared" si="7"/>
        <v>97884</v>
      </c>
    </row>
    <row r="66" spans="1:8" s="32" customFormat="1" x14ac:dyDescent="0.2">
      <c r="A66" s="37"/>
      <c r="B66" s="37"/>
      <c r="C66" s="37"/>
      <c r="D66" s="38"/>
      <c r="E66" s="61" t="s">
        <v>294</v>
      </c>
      <c r="F66" s="62">
        <v>338648</v>
      </c>
      <c r="G66" s="62"/>
      <c r="H66" s="166">
        <f t="shared" si="7"/>
        <v>338648</v>
      </c>
    </row>
    <row r="67" spans="1:8" s="32" customFormat="1" ht="37.5" x14ac:dyDescent="0.2">
      <c r="A67" s="37"/>
      <c r="B67" s="37"/>
      <c r="C67" s="37"/>
      <c r="D67" s="38"/>
      <c r="E67" s="61" t="s">
        <v>296</v>
      </c>
      <c r="F67" s="62">
        <v>761119</v>
      </c>
      <c r="G67" s="62"/>
      <c r="H67" s="166">
        <f t="shared" si="7"/>
        <v>761119</v>
      </c>
    </row>
    <row r="68" spans="1:8" s="32" customFormat="1" ht="37.5" x14ac:dyDescent="0.2">
      <c r="A68" s="37"/>
      <c r="B68" s="37"/>
      <c r="C68" s="37"/>
      <c r="D68" s="38"/>
      <c r="E68" s="77" t="s">
        <v>269</v>
      </c>
      <c r="F68" s="62">
        <v>5400</v>
      </c>
      <c r="G68" s="62">
        <f>185342</f>
        <v>185342</v>
      </c>
      <c r="H68" s="166">
        <f t="shared" si="7"/>
        <v>190742</v>
      </c>
    </row>
    <row r="69" spans="1:8" s="31" customFormat="1" ht="37.5" x14ac:dyDescent="0.2">
      <c r="A69" s="37" t="s">
        <v>122</v>
      </c>
      <c r="B69" s="37" t="s">
        <v>25</v>
      </c>
      <c r="C69" s="37" t="s">
        <v>26</v>
      </c>
      <c r="D69" s="38" t="s">
        <v>22</v>
      </c>
      <c r="E69" s="8"/>
      <c r="F69" s="40">
        <f>SUM(F70:F70)</f>
        <v>1352413</v>
      </c>
      <c r="G69" s="40">
        <f>SUM(G70:G70)</f>
        <v>0</v>
      </c>
      <c r="H69" s="168">
        <f>F69+G69</f>
        <v>1352413</v>
      </c>
    </row>
    <row r="70" spans="1:8" s="32" customFormat="1" ht="37.5" x14ac:dyDescent="0.2">
      <c r="A70" s="57"/>
      <c r="B70" s="57"/>
      <c r="C70" s="57"/>
      <c r="D70" s="57"/>
      <c r="E70" s="8" t="s">
        <v>125</v>
      </c>
      <c r="F70" s="62">
        <v>1352413</v>
      </c>
      <c r="G70" s="62"/>
      <c r="H70" s="166">
        <f>F70+G70</f>
        <v>1352413</v>
      </c>
    </row>
    <row r="71" spans="1:8" s="32" customFormat="1" ht="37.5" x14ac:dyDescent="0.2">
      <c r="A71" s="37" t="s">
        <v>123</v>
      </c>
      <c r="B71" s="37" t="s">
        <v>8</v>
      </c>
      <c r="C71" s="37" t="s">
        <v>9</v>
      </c>
      <c r="D71" s="83" t="s">
        <v>10</v>
      </c>
      <c r="E71" s="8"/>
      <c r="F71" s="52">
        <f>SUM(F72:F81)</f>
        <v>7160903</v>
      </c>
      <c r="G71" s="52">
        <f>SUM(G72:G81)</f>
        <v>240000</v>
      </c>
      <c r="H71" s="168">
        <f>F71+G71</f>
        <v>7400903</v>
      </c>
    </row>
    <row r="72" spans="1:8" s="32" customFormat="1" ht="56.25" x14ac:dyDescent="0.2">
      <c r="A72" s="57"/>
      <c r="B72" s="57"/>
      <c r="C72" s="57"/>
      <c r="D72" s="57"/>
      <c r="E72" s="8" t="s">
        <v>126</v>
      </c>
      <c r="F72" s="62">
        <v>1200000</v>
      </c>
      <c r="G72" s="62"/>
      <c r="H72" s="166">
        <f t="shared" si="7"/>
        <v>1200000</v>
      </c>
    </row>
    <row r="73" spans="1:8" s="32" customFormat="1" ht="56.25" x14ac:dyDescent="0.2">
      <c r="A73" s="57"/>
      <c r="B73" s="57"/>
      <c r="C73" s="57"/>
      <c r="D73" s="57"/>
      <c r="E73" s="9" t="s">
        <v>503</v>
      </c>
      <c r="F73" s="62">
        <v>1200000</v>
      </c>
      <c r="G73" s="62"/>
      <c r="H73" s="166">
        <f t="shared" si="7"/>
        <v>1200000</v>
      </c>
    </row>
    <row r="74" spans="1:8" s="32" customFormat="1" ht="56.25" x14ac:dyDescent="0.2">
      <c r="A74" s="57"/>
      <c r="B74" s="57"/>
      <c r="C74" s="57"/>
      <c r="D74" s="57"/>
      <c r="E74" s="9" t="s">
        <v>129</v>
      </c>
      <c r="F74" s="62">
        <v>100000</v>
      </c>
      <c r="G74" s="62"/>
      <c r="H74" s="166">
        <f t="shared" si="7"/>
        <v>100000</v>
      </c>
    </row>
    <row r="75" spans="1:8" s="32" customFormat="1" ht="56.25" x14ac:dyDescent="0.2">
      <c r="A75" s="57"/>
      <c r="B75" s="57"/>
      <c r="C75" s="57"/>
      <c r="D75" s="57"/>
      <c r="E75" s="9" t="s">
        <v>128</v>
      </c>
      <c r="F75" s="62">
        <v>600000</v>
      </c>
      <c r="G75" s="62"/>
      <c r="H75" s="166">
        <f t="shared" si="7"/>
        <v>600000</v>
      </c>
    </row>
    <row r="76" spans="1:8" s="32" customFormat="1" ht="56.25" x14ac:dyDescent="0.2">
      <c r="A76" s="57"/>
      <c r="B76" s="57"/>
      <c r="C76" s="57"/>
      <c r="D76" s="57"/>
      <c r="E76" s="5" t="s">
        <v>131</v>
      </c>
      <c r="F76" s="62">
        <v>2400000</v>
      </c>
      <c r="G76" s="62"/>
      <c r="H76" s="166">
        <f t="shared" si="7"/>
        <v>2400000</v>
      </c>
    </row>
    <row r="77" spans="1:8" s="32" customFormat="1" ht="56.25" x14ac:dyDescent="0.2">
      <c r="A77" s="57"/>
      <c r="B77" s="57"/>
      <c r="C77" s="57"/>
      <c r="D77" s="57"/>
      <c r="E77" s="8" t="s">
        <v>127</v>
      </c>
      <c r="F77" s="62"/>
      <c r="G77" s="62">
        <f>240000</f>
        <v>240000</v>
      </c>
      <c r="H77" s="166">
        <f t="shared" si="7"/>
        <v>240000</v>
      </c>
    </row>
    <row r="78" spans="1:8" s="32" customFormat="1" ht="56.25" x14ac:dyDescent="0.2">
      <c r="A78" s="57"/>
      <c r="B78" s="57"/>
      <c r="C78" s="57"/>
      <c r="D78" s="57"/>
      <c r="E78" s="9" t="s">
        <v>233</v>
      </c>
      <c r="F78" s="62">
        <v>100000</v>
      </c>
      <c r="G78" s="62"/>
      <c r="H78" s="166">
        <f t="shared" si="7"/>
        <v>100000</v>
      </c>
    </row>
    <row r="79" spans="1:8" ht="37.5" x14ac:dyDescent="0.2">
      <c r="A79" s="57"/>
      <c r="B79" s="57"/>
      <c r="C79" s="57"/>
      <c r="D79" s="57"/>
      <c r="E79" s="9" t="s">
        <v>133</v>
      </c>
      <c r="F79" s="62">
        <v>11307</v>
      </c>
      <c r="G79" s="62"/>
      <c r="H79" s="166">
        <f t="shared" si="7"/>
        <v>11307</v>
      </c>
    </row>
    <row r="80" spans="1:8" ht="37.5" x14ac:dyDescent="0.2">
      <c r="A80" s="57"/>
      <c r="B80" s="57"/>
      <c r="C80" s="57"/>
      <c r="D80" s="57"/>
      <c r="E80" s="9" t="s">
        <v>130</v>
      </c>
      <c r="F80" s="62">
        <v>50000</v>
      </c>
      <c r="G80" s="62"/>
      <c r="H80" s="166">
        <f t="shared" si="7"/>
        <v>50000</v>
      </c>
    </row>
    <row r="81" spans="1:10" s="32" customFormat="1" ht="56.25" x14ac:dyDescent="0.2">
      <c r="A81" s="57"/>
      <c r="B81" s="57"/>
      <c r="C81" s="57"/>
      <c r="D81" s="57"/>
      <c r="E81" s="9" t="s">
        <v>132</v>
      </c>
      <c r="F81" s="62">
        <v>1499596</v>
      </c>
      <c r="G81" s="62"/>
      <c r="H81" s="166">
        <f t="shared" si="7"/>
        <v>1499596</v>
      </c>
    </row>
    <row r="82" spans="1:10" s="31" customFormat="1" ht="37.5" x14ac:dyDescent="0.2">
      <c r="A82" s="29">
        <v>1500000</v>
      </c>
      <c r="B82" s="33"/>
      <c r="C82" s="33"/>
      <c r="D82" s="29" t="s">
        <v>82</v>
      </c>
      <c r="E82" s="76"/>
      <c r="F82" s="30">
        <f>F84+F99+F107+F111+F114+F116+F109</f>
        <v>241799838</v>
      </c>
      <c r="G82" s="30">
        <f>G84+G99+G107+G111+G114+G116+G109</f>
        <v>80498</v>
      </c>
      <c r="H82" s="167">
        <f>F82+G82</f>
        <v>241880336</v>
      </c>
    </row>
    <row r="83" spans="1:10" s="31" customFormat="1" ht="37.5" x14ac:dyDescent="0.2">
      <c r="A83" s="29">
        <v>1510000</v>
      </c>
      <c r="B83" s="33"/>
      <c r="C83" s="33"/>
      <c r="D83" s="35" t="s">
        <v>82</v>
      </c>
      <c r="E83" s="76"/>
      <c r="F83" s="30"/>
      <c r="G83" s="30"/>
      <c r="H83" s="167"/>
    </row>
    <row r="84" spans="1:10" s="31" customFormat="1" ht="37.5" x14ac:dyDescent="0.2">
      <c r="A84" s="37" t="s">
        <v>76</v>
      </c>
      <c r="B84" s="37" t="s">
        <v>25</v>
      </c>
      <c r="C84" s="37" t="s">
        <v>26</v>
      </c>
      <c r="D84" s="38" t="s">
        <v>22</v>
      </c>
      <c r="E84" s="36"/>
      <c r="F84" s="40">
        <f>SUM(F85:F98)</f>
        <v>15938129</v>
      </c>
      <c r="G84" s="40">
        <f>SUM(G85:G98)</f>
        <v>80498</v>
      </c>
      <c r="H84" s="168">
        <f t="shared" ref="H84:H117" si="8">F84+G84</f>
        <v>16018627</v>
      </c>
    </row>
    <row r="85" spans="1:10" s="32" customFormat="1" ht="75" x14ac:dyDescent="0.2">
      <c r="A85" s="37"/>
      <c r="B85" s="37"/>
      <c r="C85" s="37"/>
      <c r="D85" s="38"/>
      <c r="E85" s="7" t="s">
        <v>86</v>
      </c>
      <c r="F85" s="62">
        <v>278363</v>
      </c>
      <c r="G85" s="62">
        <f>-278300</f>
        <v>-278300</v>
      </c>
      <c r="H85" s="166">
        <f t="shared" si="8"/>
        <v>63</v>
      </c>
    </row>
    <row r="86" spans="1:10" s="32" customFormat="1" ht="75" x14ac:dyDescent="0.2">
      <c r="A86" s="37"/>
      <c r="B86" s="37"/>
      <c r="C86" s="37"/>
      <c r="D86" s="38"/>
      <c r="E86" s="7" t="s">
        <v>88</v>
      </c>
      <c r="F86" s="62">
        <v>218646</v>
      </c>
      <c r="G86" s="62">
        <f>-205148</f>
        <v>-205148</v>
      </c>
      <c r="H86" s="166">
        <f t="shared" si="8"/>
        <v>13498</v>
      </c>
    </row>
    <row r="87" spans="1:10" s="32" customFormat="1" ht="37.5" x14ac:dyDescent="0.2">
      <c r="A87" s="37"/>
      <c r="B87" s="37"/>
      <c r="C87" s="37"/>
      <c r="D87" s="38"/>
      <c r="E87" s="7" t="s">
        <v>345</v>
      </c>
      <c r="F87" s="62">
        <v>3229205</v>
      </c>
      <c r="G87" s="62">
        <f>1147968</f>
        <v>1147968</v>
      </c>
      <c r="H87" s="166">
        <f t="shared" si="8"/>
        <v>4377173</v>
      </c>
      <c r="J87" s="161"/>
    </row>
    <row r="88" spans="1:10" s="32" customFormat="1" x14ac:dyDescent="0.2">
      <c r="A88" s="37"/>
      <c r="B88" s="37"/>
      <c r="C88" s="37"/>
      <c r="D88" s="38"/>
      <c r="E88" s="28" t="s">
        <v>243</v>
      </c>
      <c r="F88" s="62"/>
      <c r="G88" s="62"/>
      <c r="H88" s="166"/>
    </row>
    <row r="89" spans="1:10" s="32" customFormat="1" ht="37.5" x14ac:dyDescent="0.2">
      <c r="A89" s="37"/>
      <c r="B89" s="37"/>
      <c r="C89" s="37"/>
      <c r="D89" s="38"/>
      <c r="E89" s="7" t="s">
        <v>203</v>
      </c>
      <c r="F89" s="62">
        <v>1116606</v>
      </c>
      <c r="G89" s="62">
        <f>-616600</f>
        <v>-616600</v>
      </c>
      <c r="H89" s="166">
        <f>F89+G89</f>
        <v>500006</v>
      </c>
    </row>
    <row r="90" spans="1:10" s="32" customFormat="1" ht="37.5" x14ac:dyDescent="0.2">
      <c r="A90" s="37"/>
      <c r="B90" s="37"/>
      <c r="C90" s="37"/>
      <c r="D90" s="38"/>
      <c r="E90" s="4" t="s">
        <v>301</v>
      </c>
      <c r="F90" s="62">
        <v>2409767</v>
      </c>
      <c r="G90" s="62"/>
      <c r="H90" s="166">
        <f>F90+G90</f>
        <v>2409767</v>
      </c>
    </row>
    <row r="91" spans="1:10" s="32" customFormat="1" ht="93.75" x14ac:dyDescent="0.2">
      <c r="A91" s="37"/>
      <c r="B91" s="37"/>
      <c r="C91" s="37"/>
      <c r="D91" s="38"/>
      <c r="E91" s="7" t="s">
        <v>305</v>
      </c>
      <c r="F91" s="62">
        <v>169709</v>
      </c>
      <c r="G91" s="62"/>
      <c r="H91" s="166">
        <f>F91+G91</f>
        <v>169709</v>
      </c>
    </row>
    <row r="92" spans="1:10" s="32" customFormat="1" ht="37.5" x14ac:dyDescent="0.2">
      <c r="A92" s="37"/>
      <c r="B92" s="37"/>
      <c r="C92" s="37"/>
      <c r="D92" s="38"/>
      <c r="E92" s="28" t="s">
        <v>227</v>
      </c>
      <c r="F92" s="62"/>
      <c r="G92" s="62"/>
      <c r="H92" s="166"/>
    </row>
    <row r="93" spans="1:10" s="32" customFormat="1" x14ac:dyDescent="0.2">
      <c r="A93" s="37"/>
      <c r="B93" s="37"/>
      <c r="C93" s="37"/>
      <c r="D93" s="38"/>
      <c r="E93" s="7" t="s">
        <v>346</v>
      </c>
      <c r="F93" s="62">
        <v>62114</v>
      </c>
      <c r="G93" s="62"/>
      <c r="H93" s="166">
        <f>F93+G93</f>
        <v>62114</v>
      </c>
    </row>
    <row r="94" spans="1:10" s="32" customFormat="1" x14ac:dyDescent="0.2">
      <c r="A94" s="37"/>
      <c r="B94" s="37"/>
      <c r="C94" s="37"/>
      <c r="D94" s="38"/>
      <c r="E94" s="7" t="s">
        <v>385</v>
      </c>
      <c r="F94" s="62">
        <v>2383394</v>
      </c>
      <c r="G94" s="62"/>
      <c r="H94" s="166">
        <f>F94+G94</f>
        <v>2383394</v>
      </c>
    </row>
    <row r="95" spans="1:10" s="32" customFormat="1" x14ac:dyDescent="0.2">
      <c r="A95" s="37"/>
      <c r="B95" s="37"/>
      <c r="C95" s="37"/>
      <c r="D95" s="38"/>
      <c r="E95" s="28" t="s">
        <v>244</v>
      </c>
      <c r="F95" s="62"/>
      <c r="G95" s="62"/>
      <c r="H95" s="166"/>
    </row>
    <row r="96" spans="1:10" s="32" customFormat="1" ht="37.5" x14ac:dyDescent="0.2">
      <c r="A96" s="37"/>
      <c r="B96" s="37"/>
      <c r="C96" s="37"/>
      <c r="D96" s="38"/>
      <c r="E96" s="61" t="s">
        <v>286</v>
      </c>
      <c r="F96" s="62">
        <v>4657141</v>
      </c>
      <c r="G96" s="62"/>
      <c r="H96" s="166">
        <f t="shared" si="8"/>
        <v>4657141</v>
      </c>
    </row>
    <row r="97" spans="1:8" s="32" customFormat="1" x14ac:dyDescent="0.2">
      <c r="A97" s="37"/>
      <c r="B97" s="37"/>
      <c r="C97" s="37"/>
      <c r="D97" s="38"/>
      <c r="E97" s="61" t="s">
        <v>480</v>
      </c>
      <c r="F97" s="62">
        <v>400000</v>
      </c>
      <c r="G97" s="62">
        <f>2600000-2567422</f>
        <v>32578</v>
      </c>
      <c r="H97" s="166">
        <f t="shared" si="8"/>
        <v>432578</v>
      </c>
    </row>
    <row r="98" spans="1:8" s="32" customFormat="1" ht="37.5" x14ac:dyDescent="0.2">
      <c r="A98" s="37"/>
      <c r="B98" s="37"/>
      <c r="C98" s="37"/>
      <c r="D98" s="38"/>
      <c r="E98" s="7" t="s">
        <v>310</v>
      </c>
      <c r="F98" s="62">
        <v>1013184</v>
      </c>
      <c r="G98" s="62"/>
      <c r="H98" s="166">
        <f t="shared" si="8"/>
        <v>1013184</v>
      </c>
    </row>
    <row r="99" spans="1:8" s="31" customFormat="1" x14ac:dyDescent="0.2">
      <c r="A99" s="37" t="s">
        <v>77</v>
      </c>
      <c r="B99" s="37" t="s">
        <v>98</v>
      </c>
      <c r="C99" s="37" t="s">
        <v>26</v>
      </c>
      <c r="D99" s="38" t="s">
        <v>89</v>
      </c>
      <c r="E99" s="63"/>
      <c r="F99" s="40">
        <f>SUM(F100:F106)</f>
        <v>1279711</v>
      </c>
      <c r="G99" s="40">
        <f>SUM(G100:G106)</f>
        <v>0</v>
      </c>
      <c r="H99" s="168">
        <f t="shared" si="8"/>
        <v>1279711</v>
      </c>
    </row>
    <row r="100" spans="1:8" s="31" customFormat="1" x14ac:dyDescent="0.2">
      <c r="A100" s="37"/>
      <c r="B100" s="37"/>
      <c r="C100" s="37"/>
      <c r="D100" s="38"/>
      <c r="E100" s="28" t="s">
        <v>242</v>
      </c>
      <c r="F100" s="40"/>
      <c r="G100" s="40"/>
      <c r="H100" s="168"/>
    </row>
    <row r="101" spans="1:8" s="32" customFormat="1" ht="37.5" x14ac:dyDescent="0.2">
      <c r="A101" s="37"/>
      <c r="B101" s="37"/>
      <c r="C101" s="37"/>
      <c r="D101" s="38"/>
      <c r="E101" s="7" t="s">
        <v>326</v>
      </c>
      <c r="F101" s="62">
        <f>49000</f>
        <v>49000</v>
      </c>
      <c r="G101" s="62"/>
      <c r="H101" s="166">
        <f t="shared" si="8"/>
        <v>49000</v>
      </c>
    </row>
    <row r="102" spans="1:8" s="32" customFormat="1" x14ac:dyDescent="0.2">
      <c r="A102" s="37"/>
      <c r="B102" s="37"/>
      <c r="C102" s="37"/>
      <c r="D102" s="38"/>
      <c r="E102" s="28" t="s">
        <v>245</v>
      </c>
      <c r="F102" s="62"/>
      <c r="G102" s="62"/>
      <c r="H102" s="166"/>
    </row>
    <row r="103" spans="1:8" s="32" customFormat="1" ht="56.25" x14ac:dyDescent="0.2">
      <c r="A103" s="37"/>
      <c r="B103" s="37"/>
      <c r="C103" s="37"/>
      <c r="D103" s="38"/>
      <c r="E103" s="7" t="s">
        <v>319</v>
      </c>
      <c r="F103" s="62">
        <f>22060</f>
        <v>22060</v>
      </c>
      <c r="G103" s="62"/>
      <c r="H103" s="166">
        <f t="shared" si="8"/>
        <v>22060</v>
      </c>
    </row>
    <row r="104" spans="1:8" s="32" customFormat="1" x14ac:dyDescent="0.2">
      <c r="A104" s="37"/>
      <c r="B104" s="37"/>
      <c r="C104" s="37"/>
      <c r="D104" s="38"/>
      <c r="E104" s="84" t="s">
        <v>241</v>
      </c>
      <c r="F104" s="62"/>
      <c r="G104" s="62"/>
      <c r="H104" s="166">
        <f t="shared" si="8"/>
        <v>0</v>
      </c>
    </row>
    <row r="105" spans="1:8" s="32" customFormat="1" x14ac:dyDescent="0.2">
      <c r="A105" s="37"/>
      <c r="B105" s="37"/>
      <c r="C105" s="37"/>
      <c r="D105" s="38"/>
      <c r="E105" s="4" t="s">
        <v>91</v>
      </c>
      <c r="F105" s="62">
        <v>1091613</v>
      </c>
      <c r="G105" s="62"/>
      <c r="H105" s="166">
        <f t="shared" si="8"/>
        <v>1091613</v>
      </c>
    </row>
    <row r="106" spans="1:8" s="32" customFormat="1" ht="37.5" x14ac:dyDescent="0.2">
      <c r="A106" s="37"/>
      <c r="B106" s="37"/>
      <c r="C106" s="37"/>
      <c r="D106" s="38"/>
      <c r="E106" s="7" t="s">
        <v>300</v>
      </c>
      <c r="F106" s="62">
        <f>117038</f>
        <v>117038</v>
      </c>
      <c r="G106" s="62"/>
      <c r="H106" s="166">
        <f t="shared" si="8"/>
        <v>117038</v>
      </c>
    </row>
    <row r="107" spans="1:8" x14ac:dyDescent="0.2">
      <c r="A107" s="37" t="s">
        <v>198</v>
      </c>
      <c r="B107" s="37" t="s">
        <v>199</v>
      </c>
      <c r="C107" s="37" t="s">
        <v>26</v>
      </c>
      <c r="D107" s="38" t="s">
        <v>200</v>
      </c>
      <c r="E107" s="36"/>
      <c r="F107" s="52">
        <f>SUM(F108)</f>
        <v>183433</v>
      </c>
      <c r="G107" s="52">
        <f>SUM(G108)</f>
        <v>0</v>
      </c>
      <c r="H107" s="169">
        <f t="shared" si="8"/>
        <v>183433</v>
      </c>
    </row>
    <row r="108" spans="1:8" ht="56.25" x14ac:dyDescent="0.2">
      <c r="A108" s="37"/>
      <c r="B108" s="37"/>
      <c r="C108" s="70"/>
      <c r="D108" s="70"/>
      <c r="E108" s="85" t="s">
        <v>423</v>
      </c>
      <c r="F108" s="62">
        <f>183433</f>
        <v>183433</v>
      </c>
      <c r="G108" s="62"/>
      <c r="H108" s="166">
        <f t="shared" si="8"/>
        <v>183433</v>
      </c>
    </row>
    <row r="109" spans="1:8" x14ac:dyDescent="0.2">
      <c r="A109" s="37" t="s">
        <v>78</v>
      </c>
      <c r="B109" s="37" t="s">
        <v>99</v>
      </c>
      <c r="C109" s="37" t="s">
        <v>26</v>
      </c>
      <c r="D109" s="38" t="s">
        <v>92</v>
      </c>
      <c r="E109" s="28"/>
      <c r="F109" s="40">
        <f>SUM(F110:F110)</f>
        <v>734492</v>
      </c>
      <c r="G109" s="40">
        <f>SUM(G110:G110)</f>
        <v>0</v>
      </c>
      <c r="H109" s="168">
        <f t="shared" si="8"/>
        <v>734492</v>
      </c>
    </row>
    <row r="110" spans="1:8" ht="37.5" x14ac:dyDescent="0.2">
      <c r="A110" s="37"/>
      <c r="B110" s="57"/>
      <c r="C110" s="57"/>
      <c r="D110" s="38"/>
      <c r="E110" s="66" t="s">
        <v>398</v>
      </c>
      <c r="F110" s="62">
        <f>734492</f>
        <v>734492</v>
      </c>
      <c r="G110" s="62"/>
      <c r="H110" s="166">
        <f t="shared" ref="H110" si="9">F110+G110</f>
        <v>734492</v>
      </c>
    </row>
    <row r="111" spans="1:8" s="31" customFormat="1" ht="37.5" x14ac:dyDescent="0.2">
      <c r="A111" s="37" t="s">
        <v>80</v>
      </c>
      <c r="B111" s="37" t="s">
        <v>55</v>
      </c>
      <c r="C111" s="37" t="s">
        <v>26</v>
      </c>
      <c r="D111" s="38" t="s">
        <v>224</v>
      </c>
      <c r="E111" s="63"/>
      <c r="F111" s="40">
        <f>SUM(F112:F113)</f>
        <v>219405303</v>
      </c>
      <c r="G111" s="40">
        <f>SUM(G112:G113)</f>
        <v>0</v>
      </c>
      <c r="H111" s="168">
        <f t="shared" si="8"/>
        <v>219405303</v>
      </c>
    </row>
    <row r="112" spans="1:8" s="32" customFormat="1" ht="37.5" x14ac:dyDescent="0.2">
      <c r="A112" s="37"/>
      <c r="B112" s="37"/>
      <c r="C112" s="37"/>
      <c r="D112" s="38"/>
      <c r="E112" s="86" t="s">
        <v>185</v>
      </c>
      <c r="F112" s="72">
        <v>219033622</v>
      </c>
      <c r="G112" s="72"/>
      <c r="H112" s="170">
        <f t="shared" si="8"/>
        <v>219033622</v>
      </c>
    </row>
    <row r="113" spans="1:8" s="32" customFormat="1" ht="37.5" x14ac:dyDescent="0.2">
      <c r="A113" s="37"/>
      <c r="B113" s="37"/>
      <c r="C113" s="37"/>
      <c r="D113" s="38"/>
      <c r="E113" s="86" t="s">
        <v>212</v>
      </c>
      <c r="F113" s="72">
        <v>371681</v>
      </c>
      <c r="G113" s="72"/>
      <c r="H113" s="170">
        <f t="shared" si="8"/>
        <v>371681</v>
      </c>
    </row>
    <row r="114" spans="1:8" ht="37.5" x14ac:dyDescent="0.2">
      <c r="A114" s="37" t="s">
        <v>81</v>
      </c>
      <c r="B114" s="37" t="s">
        <v>57</v>
      </c>
      <c r="C114" s="37" t="s">
        <v>26</v>
      </c>
      <c r="D114" s="38" t="s">
        <v>58</v>
      </c>
      <c r="E114" s="36"/>
      <c r="F114" s="52">
        <f>SUM(F115)</f>
        <v>3158770</v>
      </c>
      <c r="G114" s="52">
        <f>SUM(G115)</f>
        <v>0</v>
      </c>
      <c r="H114" s="169">
        <f t="shared" si="8"/>
        <v>3158770</v>
      </c>
    </row>
    <row r="115" spans="1:8" ht="37.5" x14ac:dyDescent="0.2">
      <c r="A115" s="37"/>
      <c r="B115" s="37"/>
      <c r="C115" s="70"/>
      <c r="D115" s="70"/>
      <c r="E115" s="7" t="s">
        <v>325</v>
      </c>
      <c r="F115" s="62">
        <v>3158770</v>
      </c>
      <c r="G115" s="62"/>
      <c r="H115" s="166">
        <f t="shared" si="8"/>
        <v>3158770</v>
      </c>
    </row>
    <row r="116" spans="1:8" ht="37.5" x14ac:dyDescent="0.2">
      <c r="A116" s="37" t="s">
        <v>101</v>
      </c>
      <c r="B116" s="37" t="s">
        <v>102</v>
      </c>
      <c r="C116" s="37" t="s">
        <v>9</v>
      </c>
      <c r="D116" s="38" t="s">
        <v>103</v>
      </c>
      <c r="E116" s="36"/>
      <c r="F116" s="52">
        <f>SUM(F117)</f>
        <v>1100000</v>
      </c>
      <c r="G116" s="52">
        <f>SUM(G117)</f>
        <v>0</v>
      </c>
      <c r="H116" s="169">
        <f t="shared" si="8"/>
        <v>1100000</v>
      </c>
    </row>
    <row r="117" spans="1:8" x14ac:dyDescent="0.2">
      <c r="A117" s="37"/>
      <c r="B117" s="37"/>
      <c r="C117" s="70"/>
      <c r="D117" s="70"/>
      <c r="E117" s="34" t="s">
        <v>104</v>
      </c>
      <c r="F117" s="62">
        <v>1100000</v>
      </c>
      <c r="G117" s="62"/>
      <c r="H117" s="166">
        <f t="shared" si="8"/>
        <v>1100000</v>
      </c>
    </row>
    <row r="118" spans="1:8" s="32" customFormat="1" ht="37.5" x14ac:dyDescent="0.2">
      <c r="A118" s="33" t="s">
        <v>1</v>
      </c>
      <c r="B118" s="33"/>
      <c r="C118" s="33"/>
      <c r="D118" s="33" t="s">
        <v>2</v>
      </c>
      <c r="E118" s="86"/>
      <c r="F118" s="30">
        <f>F120+F124+F127+F122</f>
        <v>633932</v>
      </c>
      <c r="G118" s="30">
        <f>G120+G124+G127+G122</f>
        <v>0</v>
      </c>
      <c r="H118" s="167">
        <f>F118+G118</f>
        <v>633932</v>
      </c>
    </row>
    <row r="119" spans="1:8" s="32" customFormat="1" ht="37.5" x14ac:dyDescent="0.2">
      <c r="A119" s="33" t="s">
        <v>3</v>
      </c>
      <c r="B119" s="33"/>
      <c r="C119" s="33"/>
      <c r="D119" s="54" t="s">
        <v>2</v>
      </c>
      <c r="E119" s="86"/>
      <c r="F119" s="72"/>
      <c r="G119" s="72"/>
      <c r="H119" s="170"/>
    </row>
    <row r="120" spans="1:8" s="32" customFormat="1" ht="56.25" x14ac:dyDescent="0.2">
      <c r="A120" s="37" t="s">
        <v>54</v>
      </c>
      <c r="B120" s="50" t="s">
        <v>4</v>
      </c>
      <c r="C120" s="50" t="s">
        <v>5</v>
      </c>
      <c r="D120" s="51" t="s">
        <v>6</v>
      </c>
      <c r="E120" s="77"/>
      <c r="F120" s="40">
        <f>SUM(F121:F121)</f>
        <v>246429</v>
      </c>
      <c r="G120" s="40">
        <f>SUM(G121:G121)</f>
        <v>0</v>
      </c>
      <c r="H120" s="168">
        <f>F120+G120</f>
        <v>246429</v>
      </c>
    </row>
    <row r="121" spans="1:8" s="32" customFormat="1" x14ac:dyDescent="0.2">
      <c r="A121" s="57"/>
      <c r="B121" s="57"/>
      <c r="C121" s="57"/>
      <c r="D121" s="57"/>
      <c r="E121" s="8" t="s">
        <v>41</v>
      </c>
      <c r="F121" s="72">
        <f>220739+25690</f>
        <v>246429</v>
      </c>
      <c r="G121" s="72"/>
      <c r="H121" s="170">
        <f>F121+G121</f>
        <v>246429</v>
      </c>
    </row>
    <row r="122" spans="1:8" ht="37.5" x14ac:dyDescent="0.2">
      <c r="A122" s="37" t="s">
        <v>450</v>
      </c>
      <c r="B122" s="37" t="s">
        <v>55</v>
      </c>
      <c r="C122" s="37" t="s">
        <v>26</v>
      </c>
      <c r="D122" s="38" t="s">
        <v>224</v>
      </c>
      <c r="E122" s="8"/>
      <c r="F122" s="62">
        <f>F123</f>
        <v>251000</v>
      </c>
      <c r="G122" s="52">
        <f>G123</f>
        <v>0</v>
      </c>
      <c r="H122" s="169">
        <f t="shared" ref="H122:H123" si="10">F122+G122</f>
        <v>251000</v>
      </c>
    </row>
    <row r="123" spans="1:8" x14ac:dyDescent="0.2">
      <c r="A123" s="57"/>
      <c r="B123" s="57"/>
      <c r="C123" s="57"/>
      <c r="D123" s="57"/>
      <c r="E123" s="3" t="s">
        <v>451</v>
      </c>
      <c r="F123" s="62">
        <f>251000</f>
        <v>251000</v>
      </c>
      <c r="G123" s="62"/>
      <c r="H123" s="166">
        <f t="shared" si="10"/>
        <v>251000</v>
      </c>
    </row>
    <row r="124" spans="1:8" s="32" customFormat="1" ht="37.5" x14ac:dyDescent="0.2">
      <c r="A124" s="37" t="s">
        <v>56</v>
      </c>
      <c r="B124" s="37" t="s">
        <v>57</v>
      </c>
      <c r="C124" s="37" t="s">
        <v>26</v>
      </c>
      <c r="D124" s="38" t="s">
        <v>58</v>
      </c>
      <c r="E124" s="8"/>
      <c r="F124" s="64">
        <f>SUM(F125:F126)</f>
        <v>118373</v>
      </c>
      <c r="G124" s="64">
        <f>SUM(G125:G126)</f>
        <v>0</v>
      </c>
      <c r="H124" s="171">
        <f>F124+G124</f>
        <v>118373</v>
      </c>
    </row>
    <row r="125" spans="1:8" s="32" customFormat="1" ht="37.5" x14ac:dyDescent="0.2">
      <c r="A125" s="37"/>
      <c r="B125" s="37"/>
      <c r="C125" s="37"/>
      <c r="D125" s="38"/>
      <c r="E125" s="61" t="s">
        <v>174</v>
      </c>
      <c r="F125" s="62">
        <v>39668</v>
      </c>
      <c r="G125" s="62"/>
      <c r="H125" s="166">
        <f t="shared" ref="H125" si="11">F125+G125</f>
        <v>39668</v>
      </c>
    </row>
    <row r="126" spans="1:8" s="32" customFormat="1" ht="37.5" x14ac:dyDescent="0.2">
      <c r="A126" s="57"/>
      <c r="B126" s="57"/>
      <c r="C126" s="57"/>
      <c r="D126" s="57"/>
      <c r="E126" s="77" t="s">
        <v>269</v>
      </c>
      <c r="F126" s="72">
        <f>78705</f>
        <v>78705</v>
      </c>
      <c r="G126" s="72"/>
      <c r="H126" s="166">
        <f>F126+G126</f>
        <v>78705</v>
      </c>
    </row>
    <row r="127" spans="1:8" s="32" customFormat="1" ht="37.5" x14ac:dyDescent="0.2">
      <c r="A127" s="37" t="s">
        <v>7</v>
      </c>
      <c r="B127" s="37" t="s">
        <v>8</v>
      </c>
      <c r="C127" s="37" t="s">
        <v>9</v>
      </c>
      <c r="D127" s="83" t="s">
        <v>10</v>
      </c>
      <c r="E127" s="77"/>
      <c r="F127" s="72">
        <f>F128</f>
        <v>18130</v>
      </c>
      <c r="G127" s="72">
        <f>G128</f>
        <v>0</v>
      </c>
      <c r="H127" s="166">
        <f t="shared" ref="H127:H128" si="12">F127+G127</f>
        <v>18130</v>
      </c>
    </row>
    <row r="128" spans="1:8" s="32" customFormat="1" ht="56.25" x14ac:dyDescent="0.2">
      <c r="A128" s="57"/>
      <c r="B128" s="57"/>
      <c r="C128" s="57"/>
      <c r="D128" s="57"/>
      <c r="E128" s="8" t="s">
        <v>229</v>
      </c>
      <c r="F128" s="72">
        <v>18130</v>
      </c>
      <c r="G128" s="72"/>
      <c r="H128" s="166">
        <f t="shared" si="12"/>
        <v>18130</v>
      </c>
    </row>
    <row r="129" spans="1:19" s="32" customFormat="1" x14ac:dyDescent="0.2">
      <c r="A129" s="33" t="s">
        <v>18</v>
      </c>
      <c r="B129" s="43"/>
      <c r="C129" s="43"/>
      <c r="D129" s="43" t="s">
        <v>19</v>
      </c>
      <c r="E129" s="8"/>
      <c r="F129" s="30">
        <f>F131+F137+F135</f>
        <v>3537660</v>
      </c>
      <c r="G129" s="30">
        <f>G131+G137+G135</f>
        <v>6100000</v>
      </c>
      <c r="H129" s="167">
        <f>F129+G129</f>
        <v>9637660</v>
      </c>
      <c r="I129" s="31"/>
      <c r="J129" s="31"/>
      <c r="K129" s="31"/>
      <c r="L129" s="31"/>
      <c r="M129" s="31"/>
      <c r="N129" s="31"/>
      <c r="O129" s="31"/>
      <c r="P129" s="31"/>
    </row>
    <row r="130" spans="1:19" s="32" customFormat="1" x14ac:dyDescent="0.2">
      <c r="A130" s="33" t="s">
        <v>20</v>
      </c>
      <c r="B130" s="43"/>
      <c r="C130" s="43"/>
      <c r="D130" s="46" t="s">
        <v>19</v>
      </c>
      <c r="E130" s="8"/>
      <c r="F130" s="60"/>
      <c r="G130" s="60"/>
      <c r="H130" s="172"/>
      <c r="I130" s="31"/>
      <c r="J130" s="31"/>
      <c r="K130" s="31"/>
      <c r="L130" s="31"/>
      <c r="M130" s="31"/>
      <c r="N130" s="31"/>
      <c r="O130" s="31"/>
      <c r="P130" s="31"/>
    </row>
    <row r="131" spans="1:19" s="87" customFormat="1" ht="19.5" x14ac:dyDescent="0.2">
      <c r="A131" s="37" t="s">
        <v>27</v>
      </c>
      <c r="B131" s="37" t="s">
        <v>28</v>
      </c>
      <c r="C131" s="37" t="s">
        <v>29</v>
      </c>
      <c r="D131" s="37" t="s">
        <v>21</v>
      </c>
      <c r="E131" s="39"/>
      <c r="F131" s="40">
        <f>SUM(F132:F134)</f>
        <v>531160</v>
      </c>
      <c r="G131" s="40">
        <f>SUM(G132:G134)</f>
        <v>0</v>
      </c>
      <c r="H131" s="168">
        <f t="shared" ref="H131:H139" si="13">F131+G131</f>
        <v>531160</v>
      </c>
    </row>
    <row r="132" spans="1:19" s="31" customFormat="1" x14ac:dyDescent="0.2">
      <c r="A132" s="37"/>
      <c r="B132" s="37"/>
      <c r="C132" s="37"/>
      <c r="D132" s="38"/>
      <c r="E132" s="10" t="s">
        <v>331</v>
      </c>
      <c r="F132" s="60">
        <v>279760</v>
      </c>
      <c r="G132" s="60"/>
      <c r="H132" s="166">
        <f t="shared" si="13"/>
        <v>279760</v>
      </c>
    </row>
    <row r="133" spans="1:19" s="31" customFormat="1" x14ac:dyDescent="0.2">
      <c r="A133" s="37"/>
      <c r="B133" s="37"/>
      <c r="C133" s="37"/>
      <c r="D133" s="38"/>
      <c r="E133" s="10" t="s">
        <v>332</v>
      </c>
      <c r="F133" s="60">
        <v>225300</v>
      </c>
      <c r="G133" s="60"/>
      <c r="H133" s="166">
        <f t="shared" si="13"/>
        <v>225300</v>
      </c>
    </row>
    <row r="134" spans="1:19" s="31" customFormat="1" x14ac:dyDescent="0.2">
      <c r="A134" s="37"/>
      <c r="B134" s="37"/>
      <c r="C134" s="37"/>
      <c r="D134" s="38"/>
      <c r="E134" s="6" t="s">
        <v>334</v>
      </c>
      <c r="F134" s="60">
        <v>26100</v>
      </c>
      <c r="G134" s="60"/>
      <c r="H134" s="166">
        <f t="shared" si="13"/>
        <v>26100</v>
      </c>
    </row>
    <row r="135" spans="1:19" s="65" customFormat="1" ht="37.5" x14ac:dyDescent="0.2">
      <c r="A135" s="37" t="s">
        <v>109</v>
      </c>
      <c r="B135" s="50" t="s">
        <v>110</v>
      </c>
      <c r="C135" s="50" t="s">
        <v>111</v>
      </c>
      <c r="D135" s="50" t="s">
        <v>112</v>
      </c>
      <c r="E135" s="63"/>
      <c r="F135" s="64">
        <f>SUM(F136)</f>
        <v>9000</v>
      </c>
      <c r="G135" s="64">
        <f>SUM(G136)</f>
        <v>0</v>
      </c>
      <c r="H135" s="171">
        <f t="shared" si="13"/>
        <v>9000</v>
      </c>
    </row>
    <row r="136" spans="1:19" x14ac:dyDescent="0.2">
      <c r="A136" s="71"/>
      <c r="B136" s="57"/>
      <c r="C136" s="57"/>
      <c r="D136" s="57"/>
      <c r="E136" s="8" t="s">
        <v>186</v>
      </c>
      <c r="F136" s="62">
        <f>9000</f>
        <v>9000</v>
      </c>
      <c r="G136" s="62"/>
      <c r="H136" s="166">
        <f t="shared" si="13"/>
        <v>9000</v>
      </c>
      <c r="Q136" s="18"/>
      <c r="R136" s="18"/>
      <c r="S136" s="18"/>
    </row>
    <row r="137" spans="1:19" s="65" customFormat="1" ht="37.5" x14ac:dyDescent="0.2">
      <c r="A137" s="37" t="s">
        <v>23</v>
      </c>
      <c r="B137" s="37" t="s">
        <v>8</v>
      </c>
      <c r="C137" s="37" t="s">
        <v>9</v>
      </c>
      <c r="D137" s="83" t="s">
        <v>10</v>
      </c>
      <c r="E137" s="88"/>
      <c r="F137" s="64">
        <f>SUM(F138)</f>
        <v>2997500</v>
      </c>
      <c r="G137" s="64">
        <f>SUM(G138)</f>
        <v>6100000</v>
      </c>
      <c r="H137" s="171">
        <f t="shared" si="13"/>
        <v>9097500</v>
      </c>
    </row>
    <row r="138" spans="1:19" ht="37.5" x14ac:dyDescent="0.2">
      <c r="A138" s="57"/>
      <c r="B138" s="57"/>
      <c r="C138" s="57"/>
      <c r="D138" s="77"/>
      <c r="E138" s="61" t="s">
        <v>230</v>
      </c>
      <c r="F138" s="62">
        <v>2997500</v>
      </c>
      <c r="G138" s="62">
        <f>6100000</f>
        <v>6100000</v>
      </c>
      <c r="H138" s="166">
        <f t="shared" si="13"/>
        <v>9097500</v>
      </c>
      <c r="Q138" s="18"/>
      <c r="R138" s="18"/>
      <c r="S138" s="18"/>
    </row>
    <row r="139" spans="1:19" s="75" customFormat="1" ht="37.5" x14ac:dyDescent="0.2">
      <c r="A139" s="33" t="s">
        <v>30</v>
      </c>
      <c r="B139" s="33"/>
      <c r="C139" s="33"/>
      <c r="D139" s="33" t="s">
        <v>31</v>
      </c>
      <c r="E139" s="89"/>
      <c r="F139" s="30">
        <f>F141</f>
        <v>2470000</v>
      </c>
      <c r="G139" s="30">
        <f>G141</f>
        <v>700000</v>
      </c>
      <c r="H139" s="167">
        <f t="shared" si="13"/>
        <v>3170000</v>
      </c>
    </row>
    <row r="140" spans="1:19" s="75" customFormat="1" ht="37.5" x14ac:dyDescent="0.2">
      <c r="A140" s="33" t="s">
        <v>32</v>
      </c>
      <c r="B140" s="33"/>
      <c r="C140" s="33"/>
      <c r="D140" s="54" t="s">
        <v>31</v>
      </c>
      <c r="E140" s="89"/>
      <c r="F140" s="30"/>
      <c r="G140" s="30"/>
      <c r="H140" s="167"/>
    </row>
    <row r="141" spans="1:19" s="75" customFormat="1" ht="20.25" x14ac:dyDescent="0.2">
      <c r="A141" s="37" t="s">
        <v>38</v>
      </c>
      <c r="B141" s="37" t="s">
        <v>39</v>
      </c>
      <c r="C141" s="37" t="s">
        <v>35</v>
      </c>
      <c r="D141" s="51" t="s">
        <v>40</v>
      </c>
      <c r="E141" s="89"/>
      <c r="F141" s="52">
        <f>SUM(F142:F146)</f>
        <v>2470000</v>
      </c>
      <c r="G141" s="52">
        <f>SUM(G142:G146)</f>
        <v>700000</v>
      </c>
      <c r="H141" s="169">
        <f t="shared" ref="H141:H146" si="14">F141+G141</f>
        <v>3170000</v>
      </c>
    </row>
    <row r="142" spans="1:19" s="75" customFormat="1" ht="37.5" x14ac:dyDescent="0.2">
      <c r="A142" s="90"/>
      <c r="B142" s="91"/>
      <c r="C142" s="91"/>
      <c r="D142" s="92"/>
      <c r="E142" s="77" t="s">
        <v>270</v>
      </c>
      <c r="F142" s="62">
        <v>100000</v>
      </c>
      <c r="G142" s="62"/>
      <c r="H142" s="166">
        <f t="shared" si="14"/>
        <v>100000</v>
      </c>
    </row>
    <row r="143" spans="1:19" s="75" customFormat="1" ht="20.25" x14ac:dyDescent="0.2">
      <c r="A143" s="90"/>
      <c r="B143" s="91"/>
      <c r="C143" s="91"/>
      <c r="D143" s="92"/>
      <c r="E143" s="9" t="s">
        <v>499</v>
      </c>
      <c r="F143" s="62">
        <v>120000</v>
      </c>
      <c r="G143" s="62"/>
      <c r="H143" s="166">
        <f t="shared" si="14"/>
        <v>120000</v>
      </c>
    </row>
    <row r="144" spans="1:19" s="75" customFormat="1" ht="56.25" x14ac:dyDescent="0.2">
      <c r="A144" s="90"/>
      <c r="B144" s="91"/>
      <c r="C144" s="91"/>
      <c r="D144" s="92"/>
      <c r="E144" s="9" t="s">
        <v>500</v>
      </c>
      <c r="F144" s="62">
        <v>1400000</v>
      </c>
      <c r="G144" s="62"/>
      <c r="H144" s="166">
        <f t="shared" si="14"/>
        <v>1400000</v>
      </c>
    </row>
    <row r="145" spans="1:14" s="75" customFormat="1" ht="20.25" x14ac:dyDescent="0.2">
      <c r="A145" s="90"/>
      <c r="B145" s="91"/>
      <c r="C145" s="91"/>
      <c r="D145" s="92"/>
      <c r="E145" s="9" t="s">
        <v>166</v>
      </c>
      <c r="F145" s="62">
        <v>350000</v>
      </c>
      <c r="G145" s="62"/>
      <c r="H145" s="166">
        <f t="shared" si="14"/>
        <v>350000</v>
      </c>
    </row>
    <row r="146" spans="1:14" s="75" customFormat="1" ht="75" x14ac:dyDescent="0.2">
      <c r="A146" s="90"/>
      <c r="B146" s="91"/>
      <c r="C146" s="91"/>
      <c r="D146" s="92"/>
      <c r="E146" s="5" t="s">
        <v>456</v>
      </c>
      <c r="F146" s="62">
        <v>500000</v>
      </c>
      <c r="G146" s="62">
        <f>700000</f>
        <v>700000</v>
      </c>
      <c r="H146" s="166">
        <f t="shared" si="14"/>
        <v>1200000</v>
      </c>
    </row>
    <row r="147" spans="1:14" s="75" customFormat="1" ht="20.25" x14ac:dyDescent="0.2">
      <c r="A147" s="90"/>
      <c r="B147" s="91"/>
      <c r="C147" s="91"/>
      <c r="D147" s="92"/>
      <c r="E147" s="89" t="s">
        <v>268</v>
      </c>
      <c r="F147" s="93">
        <f>F9+F13+F29+F39+F53+F82+F118+F129+F139+F49</f>
        <v>270882322</v>
      </c>
      <c r="G147" s="93">
        <f>G9+G13+G29+G39+G53+G82+G118+G129+G139+G49</f>
        <v>9000000</v>
      </c>
      <c r="H147" s="173">
        <f>F147+G147</f>
        <v>279882322</v>
      </c>
    </row>
    <row r="148" spans="1:14" s="69" customFormat="1" ht="20.25" x14ac:dyDescent="0.2">
      <c r="A148" s="189" t="s">
        <v>252</v>
      </c>
      <c r="B148" s="189"/>
      <c r="C148" s="189"/>
      <c r="D148" s="189"/>
      <c r="E148" s="189"/>
      <c r="F148" s="30"/>
      <c r="G148" s="30"/>
      <c r="H148" s="164"/>
    </row>
    <row r="149" spans="1:14" s="42" customFormat="1" ht="37.5" x14ac:dyDescent="0.2">
      <c r="A149" s="33" t="s">
        <v>137</v>
      </c>
      <c r="B149" s="33"/>
      <c r="C149" s="33"/>
      <c r="D149" s="29" t="s">
        <v>138</v>
      </c>
      <c r="E149" s="94"/>
      <c r="F149" s="30">
        <f>F154+F161+F151</f>
        <v>1827742</v>
      </c>
      <c r="G149" s="30">
        <f>G154+G161+G151</f>
        <v>150000</v>
      </c>
      <c r="H149" s="167">
        <f t="shared" ref="H149:H194" si="15">F149+G149</f>
        <v>1977742</v>
      </c>
      <c r="I149" s="41"/>
      <c r="J149" s="41"/>
      <c r="K149" s="41"/>
      <c r="L149" s="41"/>
      <c r="M149" s="41"/>
      <c r="N149" s="41"/>
    </row>
    <row r="150" spans="1:14" s="97" customFormat="1" ht="37.5" x14ac:dyDescent="0.2">
      <c r="A150" s="33" t="s">
        <v>139</v>
      </c>
      <c r="B150" s="33"/>
      <c r="C150" s="33"/>
      <c r="D150" s="35" t="s">
        <v>138</v>
      </c>
      <c r="E150" s="36"/>
      <c r="F150" s="30"/>
      <c r="G150" s="95"/>
      <c r="H150" s="167">
        <f t="shared" si="15"/>
        <v>0</v>
      </c>
      <c r="I150" s="96"/>
      <c r="J150" s="96"/>
      <c r="K150" s="96"/>
      <c r="L150" s="96"/>
      <c r="M150" s="96"/>
      <c r="N150" s="96"/>
    </row>
    <row r="151" spans="1:14" s="97" customFormat="1" ht="19.5" x14ac:dyDescent="0.2">
      <c r="A151" s="37" t="s">
        <v>140</v>
      </c>
      <c r="B151" s="37" t="s">
        <v>96</v>
      </c>
      <c r="C151" s="37" t="s">
        <v>97</v>
      </c>
      <c r="D151" s="38" t="s">
        <v>83</v>
      </c>
      <c r="E151" s="39"/>
      <c r="F151" s="40">
        <f>SUM(F152:F153)</f>
        <v>299152</v>
      </c>
      <c r="G151" s="40">
        <f>SUM(G152:G153)</f>
        <v>0</v>
      </c>
      <c r="H151" s="168">
        <f t="shared" si="15"/>
        <v>299152</v>
      </c>
      <c r="I151" s="96"/>
      <c r="J151" s="96"/>
      <c r="K151" s="96"/>
      <c r="L151" s="96"/>
      <c r="M151" s="96"/>
      <c r="N151" s="96"/>
    </row>
    <row r="152" spans="1:14" s="42" customFormat="1" ht="56.25" x14ac:dyDescent="0.2">
      <c r="A152" s="98"/>
      <c r="B152" s="98"/>
      <c r="C152" s="98"/>
      <c r="D152" s="99"/>
      <c r="E152" s="77" t="s">
        <v>281</v>
      </c>
      <c r="F152" s="100">
        <v>249172</v>
      </c>
      <c r="G152" s="100"/>
      <c r="H152" s="172">
        <f t="shared" si="15"/>
        <v>249172</v>
      </c>
      <c r="I152" s="41"/>
      <c r="J152" s="41"/>
      <c r="K152" s="41"/>
      <c r="L152" s="41"/>
      <c r="M152" s="41"/>
      <c r="N152" s="41"/>
    </row>
    <row r="153" spans="1:14" s="42" customFormat="1" ht="37.5" x14ac:dyDescent="0.2">
      <c r="A153" s="98"/>
      <c r="B153" s="98"/>
      <c r="C153" s="98"/>
      <c r="D153" s="99"/>
      <c r="E153" s="154" t="s">
        <v>508</v>
      </c>
      <c r="F153" s="100">
        <v>49980</v>
      </c>
      <c r="G153" s="100"/>
      <c r="H153" s="172">
        <f t="shared" si="15"/>
        <v>49980</v>
      </c>
      <c r="I153" s="41"/>
      <c r="J153" s="41"/>
      <c r="K153" s="41"/>
      <c r="L153" s="41"/>
      <c r="M153" s="41"/>
      <c r="N153" s="41"/>
    </row>
    <row r="154" spans="1:14" s="97" customFormat="1" ht="75" x14ac:dyDescent="0.2">
      <c r="A154" s="37" t="s">
        <v>141</v>
      </c>
      <c r="B154" s="37" t="s">
        <v>50</v>
      </c>
      <c r="C154" s="37" t="s">
        <v>142</v>
      </c>
      <c r="D154" s="38" t="s">
        <v>246</v>
      </c>
      <c r="E154" s="39"/>
      <c r="F154" s="40">
        <f>SUM(F155:F160)</f>
        <v>1508590</v>
      </c>
      <c r="G154" s="40">
        <f>SUM(G155:G160)</f>
        <v>150000</v>
      </c>
      <c r="H154" s="168">
        <f t="shared" si="15"/>
        <v>1658590</v>
      </c>
      <c r="I154" s="96"/>
      <c r="J154" s="96"/>
      <c r="K154" s="96"/>
      <c r="L154" s="96"/>
      <c r="M154" s="96"/>
      <c r="N154" s="96"/>
    </row>
    <row r="155" spans="1:14" s="42" customFormat="1" ht="75" x14ac:dyDescent="0.2">
      <c r="A155" s="98"/>
      <c r="B155" s="98"/>
      <c r="C155" s="98"/>
      <c r="D155" s="99"/>
      <c r="E155" s="101" t="s">
        <v>253</v>
      </c>
      <c r="F155" s="100">
        <v>300353</v>
      </c>
      <c r="G155" s="100"/>
      <c r="H155" s="172">
        <f t="shared" si="15"/>
        <v>300353</v>
      </c>
      <c r="I155" s="41"/>
      <c r="J155" s="41"/>
      <c r="K155" s="41"/>
      <c r="L155" s="41"/>
      <c r="M155" s="41"/>
      <c r="N155" s="41"/>
    </row>
    <row r="156" spans="1:14" s="42" customFormat="1" ht="56.25" x14ac:dyDescent="0.2">
      <c r="A156" s="98"/>
      <c r="B156" s="98"/>
      <c r="C156" s="98"/>
      <c r="D156" s="99"/>
      <c r="E156" s="102" t="s">
        <v>501</v>
      </c>
      <c r="F156" s="100">
        <v>78000</v>
      </c>
      <c r="G156" s="100"/>
      <c r="H156" s="172">
        <f t="shared" si="15"/>
        <v>78000</v>
      </c>
      <c r="I156" s="41"/>
      <c r="J156" s="41"/>
      <c r="K156" s="41"/>
      <c r="L156" s="41"/>
      <c r="M156" s="41"/>
      <c r="N156" s="41"/>
    </row>
    <row r="157" spans="1:14" s="42" customFormat="1" ht="37.5" x14ac:dyDescent="0.2">
      <c r="A157" s="98"/>
      <c r="B157" s="98"/>
      <c r="C157" s="98"/>
      <c r="D157" s="99"/>
      <c r="E157" s="160" t="s">
        <v>520</v>
      </c>
      <c r="F157" s="100"/>
      <c r="G157" s="100">
        <f>150000</f>
        <v>150000</v>
      </c>
      <c r="H157" s="172">
        <f t="shared" si="15"/>
        <v>150000</v>
      </c>
      <c r="I157" s="41"/>
      <c r="J157" s="41"/>
      <c r="K157" s="41"/>
      <c r="L157" s="41"/>
      <c r="M157" s="41"/>
      <c r="N157" s="41"/>
    </row>
    <row r="158" spans="1:14" s="42" customFormat="1" ht="37.5" x14ac:dyDescent="0.2">
      <c r="A158" s="98"/>
      <c r="B158" s="98"/>
      <c r="C158" s="98"/>
      <c r="D158" s="99"/>
      <c r="E158" s="101" t="s">
        <v>372</v>
      </c>
      <c r="F158" s="100">
        <v>204000</v>
      </c>
      <c r="G158" s="100"/>
      <c r="H158" s="172">
        <f t="shared" si="15"/>
        <v>204000</v>
      </c>
      <c r="I158" s="41"/>
      <c r="J158" s="41"/>
      <c r="K158" s="41"/>
      <c r="L158" s="41"/>
      <c r="M158" s="41"/>
      <c r="N158" s="41"/>
    </row>
    <row r="159" spans="1:14" s="42" customFormat="1" ht="37.5" x14ac:dyDescent="0.2">
      <c r="A159" s="98"/>
      <c r="B159" s="98"/>
      <c r="C159" s="98"/>
      <c r="D159" s="99"/>
      <c r="E159" s="103" t="s">
        <v>457</v>
      </c>
      <c r="F159" s="100">
        <v>103000</v>
      </c>
      <c r="G159" s="100"/>
      <c r="H159" s="172">
        <f t="shared" si="15"/>
        <v>103000</v>
      </c>
      <c r="I159" s="41"/>
      <c r="J159" s="41"/>
      <c r="K159" s="41"/>
      <c r="L159" s="41"/>
      <c r="M159" s="41"/>
      <c r="N159" s="41"/>
    </row>
    <row r="160" spans="1:14" s="42" customFormat="1" ht="37.5" x14ac:dyDescent="0.2">
      <c r="A160" s="98"/>
      <c r="B160" s="98"/>
      <c r="C160" s="98"/>
      <c r="D160" s="99"/>
      <c r="E160" s="101" t="s">
        <v>282</v>
      </c>
      <c r="F160" s="100">
        <v>823237</v>
      </c>
      <c r="G160" s="100"/>
      <c r="H160" s="172">
        <f t="shared" si="15"/>
        <v>823237</v>
      </c>
      <c r="I160" s="41"/>
      <c r="J160" s="41"/>
      <c r="K160" s="41"/>
      <c r="L160" s="41"/>
      <c r="M160" s="41"/>
      <c r="N160" s="41"/>
    </row>
    <row r="161" spans="1:15" s="97" customFormat="1" ht="56.25" x14ac:dyDescent="0.2">
      <c r="A161" s="37" t="s">
        <v>154</v>
      </c>
      <c r="B161" s="37" t="s">
        <v>155</v>
      </c>
      <c r="C161" s="37" t="s">
        <v>113</v>
      </c>
      <c r="D161" s="38" t="s">
        <v>156</v>
      </c>
      <c r="E161" s="39"/>
      <c r="F161" s="40">
        <f>SUM(F162:F162)</f>
        <v>20000</v>
      </c>
      <c r="G161" s="40">
        <f>SUM(G162:G162)</f>
        <v>0</v>
      </c>
      <c r="H161" s="168">
        <f t="shared" si="15"/>
        <v>20000</v>
      </c>
      <c r="I161" s="96"/>
      <c r="J161" s="96"/>
      <c r="K161" s="96"/>
      <c r="L161" s="96"/>
      <c r="M161" s="96"/>
      <c r="N161" s="96"/>
    </row>
    <row r="162" spans="1:15" s="42" customFormat="1" ht="56.25" x14ac:dyDescent="0.2">
      <c r="A162" s="98"/>
      <c r="B162" s="98"/>
      <c r="C162" s="98"/>
      <c r="D162" s="99"/>
      <c r="E162" s="132" t="s">
        <v>279</v>
      </c>
      <c r="F162" s="100">
        <f>20000</f>
        <v>20000</v>
      </c>
      <c r="G162" s="100"/>
      <c r="H162" s="172">
        <f t="shared" si="15"/>
        <v>20000</v>
      </c>
      <c r="I162" s="41"/>
      <c r="J162" s="41"/>
      <c r="K162" s="41"/>
      <c r="L162" s="41"/>
      <c r="M162" s="41"/>
      <c r="N162" s="41"/>
    </row>
    <row r="163" spans="1:15" s="42" customFormat="1" x14ac:dyDescent="0.2">
      <c r="A163" s="43" t="s">
        <v>59</v>
      </c>
      <c r="B163" s="43"/>
      <c r="C163" s="43"/>
      <c r="D163" s="43" t="s">
        <v>60</v>
      </c>
      <c r="E163" s="44"/>
      <c r="F163" s="45">
        <f>F165+F168+F170</f>
        <v>584373</v>
      </c>
      <c r="G163" s="45">
        <f>G165+G168+G170</f>
        <v>0</v>
      </c>
      <c r="H163" s="167">
        <f t="shared" si="15"/>
        <v>584373</v>
      </c>
      <c r="I163" s="41"/>
      <c r="J163" s="41"/>
      <c r="K163" s="41"/>
      <c r="L163" s="41"/>
      <c r="M163" s="41"/>
      <c r="N163" s="41"/>
      <c r="O163" s="41"/>
    </row>
    <row r="164" spans="1:15" s="49" customFormat="1" x14ac:dyDescent="0.2">
      <c r="A164" s="43" t="s">
        <v>61</v>
      </c>
      <c r="B164" s="43"/>
      <c r="C164" s="43"/>
      <c r="D164" s="46" t="s">
        <v>60</v>
      </c>
      <c r="E164" s="44"/>
      <c r="F164" s="47"/>
      <c r="G164" s="47"/>
      <c r="H164" s="167">
        <f t="shared" si="15"/>
        <v>0</v>
      </c>
      <c r="I164" s="48"/>
      <c r="J164" s="48"/>
      <c r="K164" s="48"/>
      <c r="L164" s="48"/>
      <c r="M164" s="48"/>
      <c r="N164" s="48"/>
      <c r="O164" s="48"/>
    </row>
    <row r="165" spans="1:15" s="81" customFormat="1" ht="37.5" x14ac:dyDescent="0.2">
      <c r="A165" s="50" t="s">
        <v>62</v>
      </c>
      <c r="B165" s="50" t="s">
        <v>63</v>
      </c>
      <c r="C165" s="50" t="s">
        <v>64</v>
      </c>
      <c r="D165" s="51" t="s">
        <v>65</v>
      </c>
      <c r="E165" s="104"/>
      <c r="F165" s="52">
        <f>SUM(F166:F167)</f>
        <v>482373</v>
      </c>
      <c r="G165" s="52">
        <f>SUM(G166:G167)</f>
        <v>0</v>
      </c>
      <c r="H165" s="168">
        <f t="shared" si="15"/>
        <v>482373</v>
      </c>
      <c r="I165" s="80"/>
      <c r="J165" s="80"/>
      <c r="K165" s="80"/>
      <c r="L165" s="80"/>
      <c r="M165" s="80"/>
      <c r="N165" s="80"/>
      <c r="O165" s="80"/>
    </row>
    <row r="166" spans="1:15" s="15" customFormat="1" ht="37.5" x14ac:dyDescent="0.2">
      <c r="A166" s="34"/>
      <c r="B166" s="34"/>
      <c r="C166" s="34"/>
      <c r="D166" s="9"/>
      <c r="E166" s="132" t="s">
        <v>371</v>
      </c>
      <c r="F166" s="62">
        <v>462373</v>
      </c>
      <c r="G166" s="62"/>
      <c r="H166" s="172">
        <f t="shared" si="15"/>
        <v>462373</v>
      </c>
    </row>
    <row r="167" spans="1:15" s="15" customFormat="1" ht="56.25" x14ac:dyDescent="0.2">
      <c r="A167" s="34"/>
      <c r="B167" s="34"/>
      <c r="C167" s="34"/>
      <c r="D167" s="9"/>
      <c r="E167" s="105" t="s">
        <v>458</v>
      </c>
      <c r="F167" s="62">
        <v>20000</v>
      </c>
      <c r="G167" s="62"/>
      <c r="H167" s="172">
        <f t="shared" si="15"/>
        <v>20000</v>
      </c>
    </row>
    <row r="168" spans="1:15" s="81" customFormat="1" ht="37.5" x14ac:dyDescent="0.2">
      <c r="A168" s="50" t="s">
        <v>66</v>
      </c>
      <c r="B168" s="50" t="s">
        <v>67</v>
      </c>
      <c r="C168" s="50" t="s">
        <v>68</v>
      </c>
      <c r="D168" s="51" t="s">
        <v>69</v>
      </c>
      <c r="E168" s="104"/>
      <c r="F168" s="52">
        <f>SUM(F169:F169)</f>
        <v>50000</v>
      </c>
      <c r="G168" s="52">
        <f>SUM(G169:G169)</f>
        <v>0</v>
      </c>
      <c r="H168" s="168">
        <f t="shared" si="15"/>
        <v>50000</v>
      </c>
      <c r="I168" s="80"/>
      <c r="J168" s="80"/>
      <c r="K168" s="80"/>
      <c r="L168" s="80"/>
      <c r="M168" s="80"/>
      <c r="N168" s="80"/>
      <c r="O168" s="80"/>
    </row>
    <row r="169" spans="1:15" s="15" customFormat="1" ht="75" x14ac:dyDescent="0.2">
      <c r="A169" s="34"/>
      <c r="B169" s="34"/>
      <c r="C169" s="34"/>
      <c r="D169" s="9"/>
      <c r="E169" s="132" t="s">
        <v>264</v>
      </c>
      <c r="F169" s="62">
        <f>50000</f>
        <v>50000</v>
      </c>
      <c r="G169" s="62"/>
      <c r="H169" s="172">
        <f t="shared" si="15"/>
        <v>50000</v>
      </c>
    </row>
    <row r="170" spans="1:15" s="15" customFormat="1" ht="56.25" x14ac:dyDescent="0.2">
      <c r="A170" s="50" t="s">
        <v>254</v>
      </c>
      <c r="B170" s="50" t="s">
        <v>255</v>
      </c>
      <c r="C170" s="50" t="s">
        <v>256</v>
      </c>
      <c r="D170" s="106" t="s">
        <v>257</v>
      </c>
      <c r="E170" s="132"/>
      <c r="F170" s="52">
        <f>SUM(F171:F172)</f>
        <v>52000</v>
      </c>
      <c r="G170" s="52">
        <f>SUM(G171:G172)</f>
        <v>0</v>
      </c>
      <c r="H170" s="168">
        <f t="shared" si="15"/>
        <v>52000</v>
      </c>
    </row>
    <row r="171" spans="1:15" s="15" customFormat="1" ht="56.25" x14ac:dyDescent="0.2">
      <c r="A171" s="34"/>
      <c r="B171" s="34"/>
      <c r="C171" s="34"/>
      <c r="D171" s="9"/>
      <c r="E171" s="132" t="s">
        <v>379</v>
      </c>
      <c r="F171" s="62">
        <f>15000</f>
        <v>15000</v>
      </c>
      <c r="G171" s="62"/>
      <c r="H171" s="172">
        <f t="shared" si="15"/>
        <v>15000</v>
      </c>
    </row>
    <row r="172" spans="1:15" s="15" customFormat="1" ht="56.25" x14ac:dyDescent="0.2">
      <c r="A172" s="34"/>
      <c r="B172" s="34"/>
      <c r="C172" s="34"/>
      <c r="D172" s="9"/>
      <c r="E172" s="107" t="s">
        <v>459</v>
      </c>
      <c r="F172" s="62">
        <v>37000</v>
      </c>
      <c r="G172" s="62"/>
      <c r="H172" s="172">
        <f t="shared" si="15"/>
        <v>37000</v>
      </c>
    </row>
    <row r="173" spans="1:15" s="65" customFormat="1" ht="37.5" x14ac:dyDescent="0.2">
      <c r="A173" s="29">
        <v>1000000</v>
      </c>
      <c r="B173" s="33"/>
      <c r="C173" s="33"/>
      <c r="D173" s="33" t="s">
        <v>11</v>
      </c>
      <c r="E173" s="39"/>
      <c r="F173" s="30">
        <f>F175</f>
        <v>94500</v>
      </c>
      <c r="G173" s="30">
        <f>G175</f>
        <v>0</v>
      </c>
      <c r="H173" s="167">
        <f t="shared" si="15"/>
        <v>94500</v>
      </c>
      <c r="I173" s="69"/>
      <c r="J173" s="69"/>
      <c r="K173" s="69"/>
      <c r="L173" s="69"/>
      <c r="M173" s="69"/>
      <c r="N173" s="69"/>
      <c r="O173" s="69"/>
    </row>
    <row r="174" spans="1:15" s="65" customFormat="1" ht="37.5" x14ac:dyDescent="0.2">
      <c r="A174" s="29">
        <v>1010000</v>
      </c>
      <c r="B174" s="33"/>
      <c r="C174" s="33"/>
      <c r="D174" s="54" t="s">
        <v>11</v>
      </c>
      <c r="E174" s="39"/>
      <c r="F174" s="30"/>
      <c r="G174" s="30"/>
      <c r="H174" s="167">
        <f t="shared" si="15"/>
        <v>0</v>
      </c>
      <c r="I174" s="69"/>
      <c r="J174" s="69"/>
      <c r="K174" s="69"/>
      <c r="L174" s="69"/>
      <c r="M174" s="69"/>
      <c r="N174" s="69"/>
      <c r="O174" s="69"/>
    </row>
    <row r="175" spans="1:15" s="56" customFormat="1" ht="19.5" x14ac:dyDescent="0.2">
      <c r="A175" s="38">
        <v>1014030</v>
      </c>
      <c r="B175" s="37" t="s">
        <v>258</v>
      </c>
      <c r="C175" s="37" t="s">
        <v>259</v>
      </c>
      <c r="D175" s="37" t="s">
        <v>260</v>
      </c>
      <c r="E175" s="39"/>
      <c r="F175" s="40">
        <f>SUM(F176:F180)</f>
        <v>94500</v>
      </c>
      <c r="G175" s="40">
        <f>SUM(G176:G180)</f>
        <v>0</v>
      </c>
      <c r="H175" s="168">
        <f t="shared" si="15"/>
        <v>94500</v>
      </c>
      <c r="I175" s="55"/>
      <c r="J175" s="55"/>
      <c r="K175" s="55"/>
      <c r="L175" s="55"/>
      <c r="M175" s="55"/>
      <c r="N175" s="55"/>
      <c r="O175" s="55"/>
    </row>
    <row r="176" spans="1:15" s="32" customFormat="1" ht="37.5" x14ac:dyDescent="0.2">
      <c r="A176" s="108"/>
      <c r="B176" s="70"/>
      <c r="C176" s="70"/>
      <c r="D176" s="108"/>
      <c r="E176" s="53" t="s">
        <v>261</v>
      </c>
      <c r="F176" s="60">
        <f>30000</f>
        <v>30000</v>
      </c>
      <c r="G176" s="60"/>
      <c r="H176" s="172">
        <f t="shared" si="15"/>
        <v>30000</v>
      </c>
      <c r="I176" s="31"/>
      <c r="J176" s="31"/>
      <c r="K176" s="31"/>
      <c r="L176" s="31"/>
      <c r="M176" s="31"/>
      <c r="N176" s="31"/>
      <c r="O176" s="31"/>
    </row>
    <row r="177" spans="1:15" s="32" customFormat="1" ht="37.5" x14ac:dyDescent="0.2">
      <c r="A177" s="108"/>
      <c r="B177" s="70"/>
      <c r="C177" s="70"/>
      <c r="D177" s="108"/>
      <c r="E177" s="77" t="s">
        <v>424</v>
      </c>
      <c r="F177" s="60">
        <f>10000</f>
        <v>10000</v>
      </c>
      <c r="G177" s="60"/>
      <c r="H177" s="172">
        <f t="shared" si="15"/>
        <v>10000</v>
      </c>
      <c r="I177" s="31"/>
      <c r="J177" s="31"/>
      <c r="K177" s="31"/>
      <c r="L177" s="31"/>
      <c r="M177" s="31"/>
      <c r="N177" s="31"/>
      <c r="O177" s="31"/>
    </row>
    <row r="178" spans="1:15" s="32" customFormat="1" ht="37.5" x14ac:dyDescent="0.2">
      <c r="A178" s="108"/>
      <c r="B178" s="70"/>
      <c r="C178" s="70"/>
      <c r="D178" s="108"/>
      <c r="E178" s="77" t="s">
        <v>378</v>
      </c>
      <c r="F178" s="60">
        <f>20000</f>
        <v>20000</v>
      </c>
      <c r="G178" s="60"/>
      <c r="H178" s="172">
        <f t="shared" si="15"/>
        <v>20000</v>
      </c>
      <c r="I178" s="31"/>
      <c r="J178" s="31"/>
      <c r="K178" s="31"/>
      <c r="L178" s="31"/>
      <c r="M178" s="31"/>
      <c r="N178" s="31"/>
      <c r="O178" s="31"/>
    </row>
    <row r="179" spans="1:15" s="32" customFormat="1" ht="37.5" x14ac:dyDescent="0.2">
      <c r="A179" s="108"/>
      <c r="B179" s="70"/>
      <c r="C179" s="70"/>
      <c r="D179" s="108"/>
      <c r="E179" s="154" t="s">
        <v>509</v>
      </c>
      <c r="F179" s="60">
        <f>9500</f>
        <v>9500</v>
      </c>
      <c r="G179" s="60"/>
      <c r="H179" s="172">
        <f t="shared" si="15"/>
        <v>9500</v>
      </c>
      <c r="I179" s="31"/>
      <c r="J179" s="31"/>
      <c r="K179" s="31"/>
      <c r="L179" s="31"/>
      <c r="M179" s="31"/>
      <c r="N179" s="31"/>
      <c r="O179" s="31"/>
    </row>
    <row r="180" spans="1:15" s="19" customFormat="1" ht="37.5" x14ac:dyDescent="0.2">
      <c r="A180" s="70"/>
      <c r="B180" s="70"/>
      <c r="C180" s="70"/>
      <c r="D180" s="108"/>
      <c r="E180" s="107" t="s">
        <v>460</v>
      </c>
      <c r="F180" s="60">
        <v>25000</v>
      </c>
      <c r="G180" s="60"/>
      <c r="H180" s="172">
        <f t="shared" si="15"/>
        <v>25000</v>
      </c>
      <c r="I180" s="20"/>
      <c r="J180" s="20"/>
      <c r="K180" s="20"/>
      <c r="L180" s="20"/>
      <c r="M180" s="20"/>
      <c r="N180" s="20"/>
      <c r="O180" s="20"/>
    </row>
    <row r="181" spans="1:15" s="19" customFormat="1" ht="56.25" x14ac:dyDescent="0.2">
      <c r="A181" s="29">
        <v>1200000</v>
      </c>
      <c r="B181" s="33"/>
      <c r="C181" s="33"/>
      <c r="D181" s="33" t="s">
        <v>116</v>
      </c>
      <c r="E181" s="107"/>
      <c r="F181" s="30">
        <f>F183</f>
        <v>450000</v>
      </c>
      <c r="G181" s="30">
        <f>G183</f>
        <v>0</v>
      </c>
      <c r="H181" s="167">
        <f t="shared" si="15"/>
        <v>450000</v>
      </c>
      <c r="I181" s="20"/>
      <c r="J181" s="20"/>
      <c r="K181" s="20"/>
      <c r="L181" s="20"/>
      <c r="M181" s="20"/>
      <c r="N181" s="20"/>
      <c r="O181" s="20"/>
    </row>
    <row r="182" spans="1:15" s="19" customFormat="1" ht="56.25" x14ac:dyDescent="0.2">
      <c r="A182" s="29">
        <v>1210000</v>
      </c>
      <c r="B182" s="33"/>
      <c r="C182" s="33"/>
      <c r="D182" s="54" t="s">
        <v>116</v>
      </c>
      <c r="E182" s="107"/>
      <c r="F182" s="60"/>
      <c r="G182" s="60"/>
      <c r="H182" s="172">
        <f t="shared" si="15"/>
        <v>0</v>
      </c>
      <c r="I182" s="20"/>
      <c r="J182" s="20"/>
      <c r="K182" s="20"/>
      <c r="L182" s="20"/>
      <c r="M182" s="20"/>
      <c r="N182" s="20"/>
      <c r="O182" s="20"/>
    </row>
    <row r="183" spans="1:15" s="19" customFormat="1" x14ac:dyDescent="0.2">
      <c r="A183" s="37" t="s">
        <v>121</v>
      </c>
      <c r="B183" s="37" t="s">
        <v>28</v>
      </c>
      <c r="C183" s="37" t="s">
        <v>29</v>
      </c>
      <c r="D183" s="37" t="s">
        <v>21</v>
      </c>
      <c r="E183" s="107"/>
      <c r="F183" s="60">
        <f>SUM(F184:F185)</f>
        <v>450000</v>
      </c>
      <c r="G183" s="60">
        <f>SUM(G184:G185)</f>
        <v>0</v>
      </c>
      <c r="H183" s="168">
        <f t="shared" si="15"/>
        <v>450000</v>
      </c>
      <c r="I183" s="20"/>
      <c r="J183" s="20"/>
      <c r="K183" s="20"/>
      <c r="L183" s="20"/>
      <c r="M183" s="20"/>
      <c r="N183" s="20"/>
      <c r="O183" s="20"/>
    </row>
    <row r="184" spans="1:15" s="19" customFormat="1" ht="75" x14ac:dyDescent="0.2">
      <c r="A184" s="70"/>
      <c r="B184" s="70"/>
      <c r="C184" s="70"/>
      <c r="D184" s="108"/>
      <c r="E184" s="109" t="s">
        <v>461</v>
      </c>
      <c r="F184" s="60">
        <v>250000</v>
      </c>
      <c r="G184" s="60"/>
      <c r="H184" s="172">
        <f t="shared" si="15"/>
        <v>250000</v>
      </c>
      <c r="I184" s="20"/>
      <c r="J184" s="20"/>
      <c r="K184" s="20"/>
      <c r="L184" s="20"/>
      <c r="M184" s="20"/>
      <c r="N184" s="20"/>
      <c r="O184" s="20"/>
    </row>
    <row r="185" spans="1:15" s="19" customFormat="1" ht="37.5" x14ac:dyDescent="0.2">
      <c r="A185" s="70"/>
      <c r="B185" s="70"/>
      <c r="C185" s="70"/>
      <c r="D185" s="108"/>
      <c r="E185" s="53" t="s">
        <v>502</v>
      </c>
      <c r="F185" s="60">
        <f>200000</f>
        <v>200000</v>
      </c>
      <c r="G185" s="60"/>
      <c r="H185" s="172">
        <f t="shared" si="15"/>
        <v>200000</v>
      </c>
      <c r="I185" s="20"/>
      <c r="J185" s="20"/>
      <c r="K185" s="20"/>
      <c r="L185" s="20"/>
      <c r="M185" s="20"/>
      <c r="N185" s="20"/>
      <c r="O185" s="20"/>
    </row>
    <row r="186" spans="1:15" s="65" customFormat="1" ht="37.5" x14ac:dyDescent="0.2">
      <c r="A186" s="29">
        <v>1500000</v>
      </c>
      <c r="B186" s="33"/>
      <c r="C186" s="33"/>
      <c r="D186" s="29" t="s">
        <v>82</v>
      </c>
      <c r="E186" s="36"/>
      <c r="F186" s="30">
        <f>F188+F192+F197+F195+F199</f>
        <v>7981109</v>
      </c>
      <c r="G186" s="30">
        <f>G188+G192+G197+G195+G199</f>
        <v>0</v>
      </c>
      <c r="H186" s="167">
        <f t="shared" si="15"/>
        <v>7981109</v>
      </c>
      <c r="I186" s="69"/>
    </row>
    <row r="187" spans="1:15" s="65" customFormat="1" ht="37.5" x14ac:dyDescent="0.2">
      <c r="A187" s="29">
        <v>1510000</v>
      </c>
      <c r="B187" s="33"/>
      <c r="C187" s="33"/>
      <c r="D187" s="35" t="s">
        <v>82</v>
      </c>
      <c r="E187" s="36"/>
      <c r="F187" s="30"/>
      <c r="G187" s="30"/>
      <c r="H187" s="167"/>
      <c r="I187" s="69"/>
    </row>
    <row r="188" spans="1:15" s="87" customFormat="1" ht="37.5" x14ac:dyDescent="0.2">
      <c r="A188" s="37" t="s">
        <v>76</v>
      </c>
      <c r="B188" s="37" t="s">
        <v>25</v>
      </c>
      <c r="C188" s="37" t="s">
        <v>26</v>
      </c>
      <c r="D188" s="38" t="s">
        <v>22</v>
      </c>
      <c r="E188" s="39"/>
      <c r="F188" s="40">
        <f>SUM(F189:F191)</f>
        <v>3300000</v>
      </c>
      <c r="G188" s="40">
        <f>SUM(G189:G191)</f>
        <v>0</v>
      </c>
      <c r="H188" s="168">
        <f t="shared" si="15"/>
        <v>3300000</v>
      </c>
    </row>
    <row r="189" spans="1:15" s="31" customFormat="1" ht="56.25" x14ac:dyDescent="0.2">
      <c r="A189" s="37"/>
      <c r="B189" s="37"/>
      <c r="C189" s="37"/>
      <c r="D189" s="38"/>
      <c r="E189" s="110" t="s">
        <v>262</v>
      </c>
      <c r="F189" s="60">
        <v>3000000</v>
      </c>
      <c r="G189" s="60"/>
      <c r="H189" s="172">
        <f t="shared" si="15"/>
        <v>3000000</v>
      </c>
    </row>
    <row r="190" spans="1:15" s="31" customFormat="1" ht="56.25" x14ac:dyDescent="0.2">
      <c r="A190" s="37"/>
      <c r="B190" s="37"/>
      <c r="C190" s="37"/>
      <c r="D190" s="38"/>
      <c r="E190" s="111" t="s">
        <v>277</v>
      </c>
      <c r="F190" s="60">
        <f>100000</f>
        <v>100000</v>
      </c>
      <c r="G190" s="60"/>
      <c r="H190" s="172">
        <f t="shared" si="15"/>
        <v>100000</v>
      </c>
    </row>
    <row r="191" spans="1:15" s="31" customFormat="1" ht="75" x14ac:dyDescent="0.2">
      <c r="A191" s="37"/>
      <c r="B191" s="37"/>
      <c r="C191" s="37"/>
      <c r="D191" s="38"/>
      <c r="E191" s="111" t="s">
        <v>265</v>
      </c>
      <c r="F191" s="60">
        <f>200000</f>
        <v>200000</v>
      </c>
      <c r="G191" s="60"/>
      <c r="H191" s="172">
        <f t="shared" si="15"/>
        <v>200000</v>
      </c>
    </row>
    <row r="192" spans="1:15" s="56" customFormat="1" ht="19.5" x14ac:dyDescent="0.2">
      <c r="A192" s="37" t="s">
        <v>77</v>
      </c>
      <c r="B192" s="37" t="s">
        <v>98</v>
      </c>
      <c r="C192" s="37" t="s">
        <v>26</v>
      </c>
      <c r="D192" s="38" t="s">
        <v>89</v>
      </c>
      <c r="E192" s="39"/>
      <c r="F192" s="64">
        <f>SUM(F193:F194)</f>
        <v>3857935</v>
      </c>
      <c r="G192" s="64">
        <f>SUM(G193:G194)</f>
        <v>0</v>
      </c>
      <c r="H192" s="168">
        <f t="shared" si="15"/>
        <v>3857935</v>
      </c>
      <c r="I192" s="55"/>
    </row>
    <row r="193" spans="1:9" s="31" customFormat="1" ht="37.5" x14ac:dyDescent="0.2">
      <c r="A193" s="37"/>
      <c r="B193" s="37"/>
      <c r="C193" s="37"/>
      <c r="D193" s="38"/>
      <c r="E193" s="112" t="s">
        <v>263</v>
      </c>
      <c r="F193" s="60">
        <v>3070076</v>
      </c>
      <c r="G193" s="60"/>
      <c r="H193" s="172">
        <f t="shared" si="15"/>
        <v>3070076</v>
      </c>
    </row>
    <row r="194" spans="1:9" s="31" customFormat="1" ht="37.5" x14ac:dyDescent="0.2">
      <c r="A194" s="37"/>
      <c r="B194" s="37"/>
      <c r="C194" s="37"/>
      <c r="D194" s="38"/>
      <c r="E194" s="111" t="s">
        <v>280</v>
      </c>
      <c r="F194" s="60">
        <f>787859</f>
        <v>787859</v>
      </c>
      <c r="G194" s="60"/>
      <c r="H194" s="172">
        <f t="shared" si="15"/>
        <v>787859</v>
      </c>
    </row>
    <row r="195" spans="1:9" s="56" customFormat="1" ht="19.5" x14ac:dyDescent="0.2">
      <c r="A195" s="37" t="s">
        <v>78</v>
      </c>
      <c r="B195" s="37" t="s">
        <v>99</v>
      </c>
      <c r="C195" s="37" t="s">
        <v>26</v>
      </c>
      <c r="D195" s="38" t="s">
        <v>92</v>
      </c>
      <c r="E195" s="39"/>
      <c r="F195" s="64">
        <f>SUM(F196:F196)</f>
        <v>356542</v>
      </c>
      <c r="G195" s="64">
        <f>SUM(G196:G196)</f>
        <v>0</v>
      </c>
      <c r="H195" s="168">
        <f t="shared" ref="H195:H212" si="16">F195+G195</f>
        <v>356542</v>
      </c>
      <c r="I195" s="55"/>
    </row>
    <row r="196" spans="1:9" s="31" customFormat="1" ht="37.5" x14ac:dyDescent="0.2">
      <c r="A196" s="37"/>
      <c r="B196" s="37"/>
      <c r="C196" s="37"/>
      <c r="D196" s="38"/>
      <c r="E196" s="111" t="s">
        <v>283</v>
      </c>
      <c r="F196" s="60">
        <f>356542</f>
        <v>356542</v>
      </c>
      <c r="G196" s="60"/>
      <c r="H196" s="172">
        <f t="shared" si="16"/>
        <v>356542</v>
      </c>
    </row>
    <row r="197" spans="1:9" s="56" customFormat="1" ht="37.5" x14ac:dyDescent="0.2">
      <c r="A197" s="37" t="s">
        <v>81</v>
      </c>
      <c r="B197" s="37" t="s">
        <v>57</v>
      </c>
      <c r="C197" s="37" t="s">
        <v>26</v>
      </c>
      <c r="D197" s="38" t="s">
        <v>58</v>
      </c>
      <c r="E197" s="39"/>
      <c r="F197" s="64">
        <f>SUM(F198:F198)</f>
        <v>41632</v>
      </c>
      <c r="G197" s="64">
        <f>SUM(G198:G198)</f>
        <v>0</v>
      </c>
      <c r="H197" s="168">
        <f t="shared" si="16"/>
        <v>41632</v>
      </c>
      <c r="I197" s="55"/>
    </row>
    <row r="198" spans="1:9" s="31" customFormat="1" ht="93.75" x14ac:dyDescent="0.2">
      <c r="A198" s="37"/>
      <c r="B198" s="37"/>
      <c r="C198" s="37"/>
      <c r="D198" s="38"/>
      <c r="E198" s="111" t="s">
        <v>278</v>
      </c>
      <c r="F198" s="60">
        <f>41632</f>
        <v>41632</v>
      </c>
      <c r="G198" s="60"/>
      <c r="H198" s="172">
        <f t="shared" si="16"/>
        <v>41632</v>
      </c>
    </row>
    <row r="199" spans="1:9" s="31" customFormat="1" ht="37.5" x14ac:dyDescent="0.2">
      <c r="A199" s="37" t="s">
        <v>101</v>
      </c>
      <c r="B199" s="37" t="s">
        <v>102</v>
      </c>
      <c r="C199" s="37" t="s">
        <v>9</v>
      </c>
      <c r="D199" s="38" t="s">
        <v>103</v>
      </c>
      <c r="E199" s="36"/>
      <c r="F199" s="52">
        <f>SUM(F200:F212)</f>
        <v>425000</v>
      </c>
      <c r="G199" s="52">
        <f>SUM(G200:G212)</f>
        <v>0</v>
      </c>
      <c r="H199" s="169">
        <f t="shared" si="16"/>
        <v>425000</v>
      </c>
    </row>
    <row r="200" spans="1:9" s="31" customFormat="1" ht="75" x14ac:dyDescent="0.2">
      <c r="A200" s="37"/>
      <c r="B200" s="37"/>
      <c r="C200" s="37"/>
      <c r="D200" s="38"/>
      <c r="E200" s="132" t="s">
        <v>380</v>
      </c>
      <c r="F200" s="60">
        <f>45000</f>
        <v>45000</v>
      </c>
      <c r="G200" s="60"/>
      <c r="H200" s="172">
        <f t="shared" si="16"/>
        <v>45000</v>
      </c>
    </row>
    <row r="201" spans="1:9" s="31" customFormat="1" ht="112.5" x14ac:dyDescent="0.2">
      <c r="A201" s="37"/>
      <c r="B201" s="37"/>
      <c r="C201" s="37"/>
      <c r="D201" s="38"/>
      <c r="E201" s="158" t="s">
        <v>510</v>
      </c>
      <c r="F201" s="60">
        <f>50000</f>
        <v>50000</v>
      </c>
      <c r="G201" s="60"/>
      <c r="H201" s="172">
        <f t="shared" si="16"/>
        <v>50000</v>
      </c>
    </row>
    <row r="202" spans="1:9" s="31" customFormat="1" ht="56.25" x14ac:dyDescent="0.2">
      <c r="A202" s="37"/>
      <c r="B202" s="37"/>
      <c r="C202" s="37"/>
      <c r="D202" s="38"/>
      <c r="E202" s="142" t="s">
        <v>462</v>
      </c>
      <c r="F202" s="60">
        <v>40000</v>
      </c>
      <c r="G202" s="60"/>
      <c r="H202" s="172">
        <f t="shared" si="16"/>
        <v>40000</v>
      </c>
    </row>
    <row r="203" spans="1:9" s="31" customFormat="1" ht="75" x14ac:dyDescent="0.2">
      <c r="A203" s="37"/>
      <c r="B203" s="37"/>
      <c r="C203" s="37"/>
      <c r="D203" s="38"/>
      <c r="E203" s="142" t="s">
        <v>463</v>
      </c>
      <c r="F203" s="60">
        <v>20000</v>
      </c>
      <c r="G203" s="60"/>
      <c r="H203" s="172">
        <f t="shared" si="16"/>
        <v>20000</v>
      </c>
    </row>
    <row r="204" spans="1:9" s="31" customFormat="1" ht="56.25" x14ac:dyDescent="0.2">
      <c r="A204" s="37"/>
      <c r="B204" s="37"/>
      <c r="C204" s="37"/>
      <c r="D204" s="38"/>
      <c r="E204" s="142" t="s">
        <v>464</v>
      </c>
      <c r="F204" s="60">
        <v>30000</v>
      </c>
      <c r="G204" s="60"/>
      <c r="H204" s="172">
        <f t="shared" si="16"/>
        <v>30000</v>
      </c>
    </row>
    <row r="205" spans="1:9" s="31" customFormat="1" ht="56.25" x14ac:dyDescent="0.2">
      <c r="A205" s="37"/>
      <c r="B205" s="37"/>
      <c r="C205" s="37"/>
      <c r="D205" s="38"/>
      <c r="E205" s="142" t="s">
        <v>465</v>
      </c>
      <c r="F205" s="60">
        <v>20000</v>
      </c>
      <c r="G205" s="60"/>
      <c r="H205" s="172">
        <f t="shared" si="16"/>
        <v>20000</v>
      </c>
    </row>
    <row r="206" spans="1:9" s="31" customFormat="1" ht="56.25" x14ac:dyDescent="0.2">
      <c r="A206" s="37"/>
      <c r="B206" s="37"/>
      <c r="C206" s="37"/>
      <c r="D206" s="38"/>
      <c r="E206" s="142" t="s">
        <v>466</v>
      </c>
      <c r="F206" s="60">
        <v>20000</v>
      </c>
      <c r="G206" s="60"/>
      <c r="H206" s="172">
        <f t="shared" si="16"/>
        <v>20000</v>
      </c>
    </row>
    <row r="207" spans="1:9" s="31" customFormat="1" ht="56.25" x14ac:dyDescent="0.2">
      <c r="A207" s="37"/>
      <c r="B207" s="37"/>
      <c r="C207" s="37"/>
      <c r="D207" s="38"/>
      <c r="E207" s="142" t="s">
        <v>467</v>
      </c>
      <c r="F207" s="60">
        <v>20000</v>
      </c>
      <c r="G207" s="60"/>
      <c r="H207" s="172">
        <f t="shared" si="16"/>
        <v>20000</v>
      </c>
    </row>
    <row r="208" spans="1:9" s="31" customFormat="1" ht="56.25" x14ac:dyDescent="0.2">
      <c r="A208" s="37"/>
      <c r="B208" s="37"/>
      <c r="C208" s="37"/>
      <c r="D208" s="38"/>
      <c r="E208" s="142" t="s">
        <v>468</v>
      </c>
      <c r="F208" s="60">
        <v>40000</v>
      </c>
      <c r="G208" s="60"/>
      <c r="H208" s="172">
        <f t="shared" si="16"/>
        <v>40000</v>
      </c>
    </row>
    <row r="209" spans="1:16" s="31" customFormat="1" ht="75" x14ac:dyDescent="0.2">
      <c r="A209" s="37"/>
      <c r="B209" s="37"/>
      <c r="C209" s="37"/>
      <c r="D209" s="38"/>
      <c r="E209" s="142" t="s">
        <v>469</v>
      </c>
      <c r="F209" s="60">
        <v>40000</v>
      </c>
      <c r="G209" s="60"/>
      <c r="H209" s="172">
        <f t="shared" si="16"/>
        <v>40000</v>
      </c>
    </row>
    <row r="210" spans="1:16" s="31" customFormat="1" ht="56.25" x14ac:dyDescent="0.2">
      <c r="A210" s="37"/>
      <c r="B210" s="37"/>
      <c r="C210" s="37"/>
      <c r="D210" s="38"/>
      <c r="E210" s="142" t="s">
        <v>470</v>
      </c>
      <c r="F210" s="60">
        <v>40000</v>
      </c>
      <c r="G210" s="60"/>
      <c r="H210" s="172">
        <f t="shared" si="16"/>
        <v>40000</v>
      </c>
    </row>
    <row r="211" spans="1:16" s="31" customFormat="1" ht="37.5" x14ac:dyDescent="0.2">
      <c r="A211" s="37"/>
      <c r="B211" s="37"/>
      <c r="C211" s="37"/>
      <c r="D211" s="38"/>
      <c r="E211" s="142" t="s">
        <v>471</v>
      </c>
      <c r="F211" s="60">
        <v>50000</v>
      </c>
      <c r="G211" s="60"/>
      <c r="H211" s="172">
        <f t="shared" si="16"/>
        <v>50000</v>
      </c>
    </row>
    <row r="212" spans="1:16" s="31" customFormat="1" ht="56.25" x14ac:dyDescent="0.2">
      <c r="A212" s="37"/>
      <c r="B212" s="37"/>
      <c r="C212" s="37"/>
      <c r="D212" s="38"/>
      <c r="E212" s="142" t="s">
        <v>472</v>
      </c>
      <c r="F212" s="60">
        <v>10000</v>
      </c>
      <c r="G212" s="60"/>
      <c r="H212" s="172">
        <f t="shared" si="16"/>
        <v>10000</v>
      </c>
    </row>
    <row r="213" spans="1:16" s="75" customFormat="1" ht="20.25" x14ac:dyDescent="0.2">
      <c r="A213" s="90"/>
      <c r="B213" s="91"/>
      <c r="C213" s="91"/>
      <c r="D213" s="92"/>
      <c r="E213" s="89" t="s">
        <v>267</v>
      </c>
      <c r="F213" s="93">
        <f>F147+F186+F149+F173+F163+F181</f>
        <v>281820046</v>
      </c>
      <c r="G213" s="93">
        <f>G147+G186+G149+G173+G163+G181</f>
        <v>9150000</v>
      </c>
      <c r="H213" s="173">
        <f>H147+H186+H149+H173+H163+H181</f>
        <v>290970046</v>
      </c>
      <c r="K213" s="113"/>
    </row>
    <row r="214" spans="1:16" s="32" customFormat="1" ht="20.25" x14ac:dyDescent="0.2">
      <c r="A214" s="181" t="s">
        <v>187</v>
      </c>
      <c r="B214" s="181"/>
      <c r="C214" s="181"/>
      <c r="D214" s="181"/>
      <c r="E214" s="181"/>
      <c r="F214" s="181"/>
      <c r="G214" s="181"/>
      <c r="H214" s="181"/>
      <c r="I214" s="31"/>
      <c r="J214" s="31"/>
      <c r="K214" s="31"/>
      <c r="L214" s="31"/>
      <c r="M214" s="31"/>
      <c r="N214" s="31"/>
      <c r="O214" s="31"/>
      <c r="P214" s="31"/>
    </row>
    <row r="215" spans="1:16" x14ac:dyDescent="0.2">
      <c r="A215" s="33" t="s">
        <v>157</v>
      </c>
      <c r="B215" s="33"/>
      <c r="C215" s="33"/>
      <c r="D215" s="33" t="s">
        <v>158</v>
      </c>
      <c r="E215" s="8"/>
      <c r="F215" s="47">
        <f>F228+F224+F235+F217+F230+F238</f>
        <v>7145642</v>
      </c>
      <c r="G215" s="47">
        <f>G228+G224+G235+G217+G230+G238</f>
        <v>-861404</v>
      </c>
      <c r="H215" s="165">
        <f t="shared" ref="H215:H326" si="17">F215+G215</f>
        <v>6284238</v>
      </c>
    </row>
    <row r="216" spans="1:16" x14ac:dyDescent="0.2">
      <c r="A216" s="33" t="s">
        <v>159</v>
      </c>
      <c r="B216" s="33"/>
      <c r="C216" s="33"/>
      <c r="D216" s="54" t="s">
        <v>158</v>
      </c>
      <c r="E216" s="8"/>
      <c r="F216" s="62"/>
      <c r="G216" s="62"/>
      <c r="H216" s="166">
        <f t="shared" si="17"/>
        <v>0</v>
      </c>
    </row>
    <row r="217" spans="1:16" ht="56.25" x14ac:dyDescent="0.2">
      <c r="A217" s="37" t="s">
        <v>357</v>
      </c>
      <c r="B217" s="50" t="s">
        <v>4</v>
      </c>
      <c r="C217" s="50" t="s">
        <v>5</v>
      </c>
      <c r="D217" s="51" t="s">
        <v>6</v>
      </c>
      <c r="E217" s="63"/>
      <c r="F217" s="62">
        <f>SUM(F218:F223)</f>
        <v>884580</v>
      </c>
      <c r="G217" s="62">
        <f>SUM(G218:G223)</f>
        <v>64996</v>
      </c>
      <c r="H217" s="166">
        <f t="shared" si="17"/>
        <v>949576</v>
      </c>
    </row>
    <row r="218" spans="1:16" x14ac:dyDescent="0.2">
      <c r="A218" s="37"/>
      <c r="B218" s="37"/>
      <c r="C218" s="37"/>
      <c r="D218" s="38"/>
      <c r="E218" s="61" t="s">
        <v>124</v>
      </c>
      <c r="F218" s="62">
        <v>222804</v>
      </c>
      <c r="G218" s="62">
        <f>34467+14500+16029</f>
        <v>64996</v>
      </c>
      <c r="H218" s="166">
        <f t="shared" si="17"/>
        <v>287800</v>
      </c>
    </row>
    <row r="219" spans="1:16" ht="37.5" x14ac:dyDescent="0.2">
      <c r="A219" s="37"/>
      <c r="B219" s="37"/>
      <c r="C219" s="37"/>
      <c r="D219" s="38"/>
      <c r="E219" s="7" t="s">
        <v>416</v>
      </c>
      <c r="F219" s="62">
        <v>142489</v>
      </c>
      <c r="G219" s="62"/>
      <c r="H219" s="166">
        <f t="shared" si="17"/>
        <v>142489</v>
      </c>
    </row>
    <row r="220" spans="1:16" ht="37.5" x14ac:dyDescent="0.2">
      <c r="A220" s="37"/>
      <c r="B220" s="37"/>
      <c r="C220" s="37"/>
      <c r="D220" s="38"/>
      <c r="E220" s="61" t="s">
        <v>487</v>
      </c>
      <c r="F220" s="62">
        <v>49800</v>
      </c>
      <c r="G220" s="62"/>
      <c r="H220" s="166">
        <f t="shared" si="17"/>
        <v>49800</v>
      </c>
    </row>
    <row r="221" spans="1:16" ht="75" x14ac:dyDescent="0.2">
      <c r="A221" s="37"/>
      <c r="B221" s="37"/>
      <c r="C221" s="37"/>
      <c r="D221" s="38"/>
      <c r="E221" s="7" t="s">
        <v>436</v>
      </c>
      <c r="F221" s="62">
        <v>198780</v>
      </c>
      <c r="G221" s="62"/>
      <c r="H221" s="166">
        <f t="shared" si="17"/>
        <v>198780</v>
      </c>
    </row>
    <row r="222" spans="1:16" ht="37.5" x14ac:dyDescent="0.2">
      <c r="A222" s="37"/>
      <c r="B222" s="37"/>
      <c r="C222" s="37"/>
      <c r="D222" s="38"/>
      <c r="E222" s="7" t="s">
        <v>417</v>
      </c>
      <c r="F222" s="62">
        <v>267000</v>
      </c>
      <c r="G222" s="62"/>
      <c r="H222" s="166">
        <f t="shared" si="17"/>
        <v>267000</v>
      </c>
    </row>
    <row r="223" spans="1:16" ht="37.5" x14ac:dyDescent="0.2">
      <c r="A223" s="37"/>
      <c r="B223" s="37"/>
      <c r="C223" s="37"/>
      <c r="D223" s="38"/>
      <c r="E223" s="61" t="s">
        <v>377</v>
      </c>
      <c r="F223" s="62">
        <v>3707</v>
      </c>
      <c r="G223" s="62"/>
      <c r="H223" s="166">
        <f t="shared" si="17"/>
        <v>3707</v>
      </c>
    </row>
    <row r="224" spans="1:16" x14ac:dyDescent="0.2">
      <c r="A224" s="37" t="s">
        <v>183</v>
      </c>
      <c r="B224" s="37" t="s">
        <v>35</v>
      </c>
      <c r="C224" s="37" t="s">
        <v>36</v>
      </c>
      <c r="D224" s="38" t="s">
        <v>37</v>
      </c>
      <c r="E224" s="61"/>
      <c r="F224" s="62">
        <f>SUM(F225:F227)</f>
        <v>543029</v>
      </c>
      <c r="G224" s="62">
        <f>SUM(G225:G227)</f>
        <v>0</v>
      </c>
      <c r="H224" s="166">
        <f t="shared" si="17"/>
        <v>543029</v>
      </c>
    </row>
    <row r="225" spans="1:8" x14ac:dyDescent="0.2">
      <c r="A225" s="37"/>
      <c r="B225" s="37"/>
      <c r="C225" s="37"/>
      <c r="D225" s="37"/>
      <c r="E225" s="61" t="s">
        <v>37</v>
      </c>
      <c r="F225" s="62">
        <v>32144</v>
      </c>
      <c r="G225" s="62"/>
      <c r="H225" s="166">
        <f t="shared" si="17"/>
        <v>32144</v>
      </c>
    </row>
    <row r="226" spans="1:8" ht="37.5" x14ac:dyDescent="0.2">
      <c r="A226" s="37"/>
      <c r="B226" s="37"/>
      <c r="C226" s="37"/>
      <c r="D226" s="37"/>
      <c r="E226" s="61" t="s">
        <v>410</v>
      </c>
      <c r="F226" s="62">
        <v>465945</v>
      </c>
      <c r="G226" s="62"/>
      <c r="H226" s="166">
        <f t="shared" si="17"/>
        <v>465945</v>
      </c>
    </row>
    <row r="227" spans="1:8" ht="37.5" x14ac:dyDescent="0.2">
      <c r="A227" s="37"/>
      <c r="B227" s="37"/>
      <c r="C227" s="37"/>
      <c r="D227" s="37"/>
      <c r="E227" s="61" t="s">
        <v>335</v>
      </c>
      <c r="F227" s="62">
        <v>44940</v>
      </c>
      <c r="G227" s="62"/>
      <c r="H227" s="166">
        <f t="shared" si="17"/>
        <v>44940</v>
      </c>
    </row>
    <row r="228" spans="1:8" ht="37.5" x14ac:dyDescent="0.2">
      <c r="A228" s="37" t="s">
        <v>170</v>
      </c>
      <c r="B228" s="37" t="s">
        <v>171</v>
      </c>
      <c r="C228" s="37" t="s">
        <v>51</v>
      </c>
      <c r="D228" s="37" t="s">
        <v>172</v>
      </c>
      <c r="E228" s="63"/>
      <c r="F228" s="62">
        <f>SUM(F229)</f>
        <v>3000000</v>
      </c>
      <c r="G228" s="62">
        <f>SUM(G229)</f>
        <v>-1000000</v>
      </c>
      <c r="H228" s="166">
        <f t="shared" si="17"/>
        <v>2000000</v>
      </c>
    </row>
    <row r="229" spans="1:8" ht="56.25" x14ac:dyDescent="0.2">
      <c r="A229" s="37"/>
      <c r="B229" s="37"/>
      <c r="C229" s="37"/>
      <c r="D229" s="38"/>
      <c r="E229" s="63" t="s">
        <v>173</v>
      </c>
      <c r="F229" s="62">
        <v>3000000</v>
      </c>
      <c r="G229" s="62">
        <f>-1000000</f>
        <v>-1000000</v>
      </c>
      <c r="H229" s="166">
        <f t="shared" si="17"/>
        <v>2000000</v>
      </c>
    </row>
    <row r="230" spans="1:8" ht="37.5" x14ac:dyDescent="0.2">
      <c r="A230" s="37" t="s">
        <v>363</v>
      </c>
      <c r="B230" s="37" t="s">
        <v>25</v>
      </c>
      <c r="C230" s="37" t="s">
        <v>26</v>
      </c>
      <c r="D230" s="38" t="s">
        <v>22</v>
      </c>
      <c r="E230" s="28"/>
      <c r="F230" s="40">
        <f>SUM(F231:F234)</f>
        <v>2472877</v>
      </c>
      <c r="G230" s="40">
        <f>SUM(G231:G234)</f>
        <v>0</v>
      </c>
      <c r="H230" s="168">
        <f t="shared" si="17"/>
        <v>2472877</v>
      </c>
    </row>
    <row r="231" spans="1:8" ht="56.25" x14ac:dyDescent="0.2">
      <c r="A231" s="37"/>
      <c r="B231" s="37"/>
      <c r="C231" s="37"/>
      <c r="D231" s="38"/>
      <c r="E231" s="9" t="s">
        <v>437</v>
      </c>
      <c r="F231" s="40">
        <v>293000</v>
      </c>
      <c r="G231" s="40"/>
      <c r="H231" s="168">
        <f t="shared" si="17"/>
        <v>293000</v>
      </c>
    </row>
    <row r="232" spans="1:8" ht="37.5" x14ac:dyDescent="0.2">
      <c r="A232" s="37"/>
      <c r="B232" s="57"/>
      <c r="C232" s="57"/>
      <c r="D232" s="38"/>
      <c r="E232" s="7" t="s">
        <v>340</v>
      </c>
      <c r="F232" s="62">
        <v>1040600</v>
      </c>
      <c r="G232" s="62"/>
      <c r="H232" s="166">
        <f t="shared" si="17"/>
        <v>1040600</v>
      </c>
    </row>
    <row r="233" spans="1:8" ht="37.5" x14ac:dyDescent="0.2">
      <c r="A233" s="37"/>
      <c r="B233" s="57"/>
      <c r="C233" s="57"/>
      <c r="D233" s="38"/>
      <c r="E233" s="7" t="s">
        <v>341</v>
      </c>
      <c r="F233" s="62">
        <v>542300</v>
      </c>
      <c r="G233" s="62"/>
      <c r="H233" s="166">
        <f t="shared" si="17"/>
        <v>542300</v>
      </c>
    </row>
    <row r="234" spans="1:8" x14ac:dyDescent="0.2">
      <c r="A234" s="37"/>
      <c r="B234" s="57"/>
      <c r="C234" s="57"/>
      <c r="D234" s="38"/>
      <c r="E234" s="7" t="s">
        <v>411</v>
      </c>
      <c r="F234" s="62">
        <v>596977</v>
      </c>
      <c r="G234" s="62"/>
      <c r="H234" s="166">
        <f t="shared" si="17"/>
        <v>596977</v>
      </c>
    </row>
    <row r="235" spans="1:8" x14ac:dyDescent="0.2">
      <c r="A235" s="37" t="s">
        <v>336</v>
      </c>
      <c r="B235" s="37" t="s">
        <v>337</v>
      </c>
      <c r="C235" s="37" t="s">
        <v>9</v>
      </c>
      <c r="D235" s="37" t="s">
        <v>338</v>
      </c>
      <c r="E235" s="63"/>
      <c r="F235" s="62">
        <f>SUM(F236:F237)</f>
        <v>42916</v>
      </c>
      <c r="G235" s="62">
        <f>SUM(G236:G237)</f>
        <v>73600</v>
      </c>
      <c r="H235" s="166">
        <f t="shared" ref="H235:H239" si="18">F235+G235</f>
        <v>116516</v>
      </c>
    </row>
    <row r="236" spans="1:8" ht="75" x14ac:dyDescent="0.2">
      <c r="A236" s="37"/>
      <c r="B236" s="37"/>
      <c r="C236" s="37"/>
      <c r="D236" s="38"/>
      <c r="E236" s="61" t="s">
        <v>339</v>
      </c>
      <c r="F236" s="62">
        <f>42916</f>
        <v>42916</v>
      </c>
      <c r="G236" s="62"/>
      <c r="H236" s="166">
        <f t="shared" si="18"/>
        <v>42916</v>
      </c>
    </row>
    <row r="237" spans="1:8" ht="56.25" x14ac:dyDescent="0.2">
      <c r="A237" s="37"/>
      <c r="B237" s="37"/>
      <c r="C237" s="37"/>
      <c r="D237" s="38"/>
      <c r="E237" s="61" t="s">
        <v>515</v>
      </c>
      <c r="F237" s="62"/>
      <c r="G237" s="62">
        <f>73600</f>
        <v>73600</v>
      </c>
      <c r="H237" s="166">
        <f t="shared" si="18"/>
        <v>73600</v>
      </c>
    </row>
    <row r="238" spans="1:8" x14ac:dyDescent="0.2">
      <c r="A238" s="37" t="s">
        <v>438</v>
      </c>
      <c r="B238" s="37" t="s">
        <v>439</v>
      </c>
      <c r="C238" s="37" t="s">
        <v>440</v>
      </c>
      <c r="D238" s="37" t="s">
        <v>441</v>
      </c>
      <c r="E238" s="61"/>
      <c r="F238" s="62">
        <f>F239</f>
        <v>202240</v>
      </c>
      <c r="G238" s="52">
        <f>G239</f>
        <v>0</v>
      </c>
      <c r="H238" s="169">
        <f t="shared" si="18"/>
        <v>202240</v>
      </c>
    </row>
    <row r="239" spans="1:8" ht="37.5" x14ac:dyDescent="0.2">
      <c r="A239" s="37"/>
      <c r="B239" s="37"/>
      <c r="C239" s="37"/>
      <c r="D239" s="38"/>
      <c r="E239" s="61" t="s">
        <v>488</v>
      </c>
      <c r="F239" s="62">
        <v>202240</v>
      </c>
      <c r="G239" s="62"/>
      <c r="H239" s="166">
        <f t="shared" si="18"/>
        <v>202240</v>
      </c>
    </row>
    <row r="240" spans="1:8" ht="37.5" x14ac:dyDescent="0.2">
      <c r="A240" s="33" t="s">
        <v>137</v>
      </c>
      <c r="B240" s="33"/>
      <c r="C240" s="33"/>
      <c r="D240" s="29" t="s">
        <v>138</v>
      </c>
      <c r="E240" s="8"/>
      <c r="F240" s="47">
        <f>F242+F247+F252+F254+F258+F267+F270+F262+F264+F260</f>
        <v>16701756</v>
      </c>
      <c r="G240" s="47">
        <f>G242+G247+G252+G254+G258+G267+G270+G262+G264+G260</f>
        <v>-465101</v>
      </c>
      <c r="H240" s="165">
        <f t="shared" si="17"/>
        <v>16236655</v>
      </c>
    </row>
    <row r="241" spans="1:8" ht="37.5" x14ac:dyDescent="0.2">
      <c r="A241" s="33" t="s">
        <v>139</v>
      </c>
      <c r="B241" s="33"/>
      <c r="C241" s="33"/>
      <c r="D241" s="35" t="s">
        <v>138</v>
      </c>
      <c r="E241" s="8"/>
      <c r="F241" s="62"/>
      <c r="G241" s="62"/>
      <c r="H241" s="166">
        <f t="shared" si="17"/>
        <v>0</v>
      </c>
    </row>
    <row r="242" spans="1:8" x14ac:dyDescent="0.2">
      <c r="A242" s="37" t="s">
        <v>140</v>
      </c>
      <c r="B242" s="37" t="s">
        <v>96</v>
      </c>
      <c r="C242" s="37" t="s">
        <v>97</v>
      </c>
      <c r="D242" s="38" t="s">
        <v>83</v>
      </c>
      <c r="E242" s="8"/>
      <c r="F242" s="52">
        <f>SUM(F243:F246)</f>
        <v>3231524</v>
      </c>
      <c r="G242" s="52">
        <f>SUM(G243:G246)</f>
        <v>-469817</v>
      </c>
      <c r="H242" s="169">
        <f t="shared" si="17"/>
        <v>2761707</v>
      </c>
    </row>
    <row r="243" spans="1:8" x14ac:dyDescent="0.2">
      <c r="A243" s="33"/>
      <c r="B243" s="33"/>
      <c r="C243" s="33"/>
      <c r="D243" s="35"/>
      <c r="E243" s="61" t="s">
        <v>193</v>
      </c>
      <c r="F243" s="62">
        <v>2963298</v>
      </c>
      <c r="G243" s="62">
        <f>-100000-369817</f>
        <v>-469817</v>
      </c>
      <c r="H243" s="166">
        <f t="shared" si="17"/>
        <v>2493481</v>
      </c>
    </row>
    <row r="244" spans="1:8" x14ac:dyDescent="0.2">
      <c r="A244" s="33"/>
      <c r="B244" s="33"/>
      <c r="C244" s="33"/>
      <c r="D244" s="35"/>
      <c r="E244" s="77" t="s">
        <v>355</v>
      </c>
      <c r="F244" s="62">
        <v>52229</v>
      </c>
      <c r="G244" s="62"/>
      <c r="H244" s="166">
        <f t="shared" si="17"/>
        <v>52229</v>
      </c>
    </row>
    <row r="245" spans="1:8" ht="37.5" x14ac:dyDescent="0.2">
      <c r="A245" s="33"/>
      <c r="B245" s="33"/>
      <c r="C245" s="33"/>
      <c r="D245" s="35"/>
      <c r="E245" s="77" t="s">
        <v>269</v>
      </c>
      <c r="F245" s="62">
        <v>199997</v>
      </c>
      <c r="G245" s="62"/>
      <c r="H245" s="166">
        <f t="shared" si="17"/>
        <v>199997</v>
      </c>
    </row>
    <row r="246" spans="1:8" ht="37.5" x14ac:dyDescent="0.2">
      <c r="A246" s="57"/>
      <c r="B246" s="57"/>
      <c r="C246" s="57"/>
      <c r="D246" s="57"/>
      <c r="E246" s="77" t="s">
        <v>270</v>
      </c>
      <c r="F246" s="62">
        <v>16000</v>
      </c>
      <c r="G246" s="62"/>
      <c r="H246" s="166">
        <f t="shared" si="17"/>
        <v>16000</v>
      </c>
    </row>
    <row r="247" spans="1:8" ht="75" x14ac:dyDescent="0.2">
      <c r="A247" s="37" t="s">
        <v>141</v>
      </c>
      <c r="B247" s="37" t="s">
        <v>50</v>
      </c>
      <c r="C247" s="37" t="s">
        <v>142</v>
      </c>
      <c r="D247" s="38" t="s">
        <v>246</v>
      </c>
      <c r="E247" s="8"/>
      <c r="F247" s="52">
        <f>SUM(F248:F251)</f>
        <v>10903597</v>
      </c>
      <c r="G247" s="52">
        <f>SUM(G248:G251)</f>
        <v>292056</v>
      </c>
      <c r="H247" s="169">
        <f t="shared" si="17"/>
        <v>11195653</v>
      </c>
    </row>
    <row r="248" spans="1:8" x14ac:dyDescent="0.2">
      <c r="A248" s="33"/>
      <c r="B248" s="33"/>
      <c r="C248" s="33"/>
      <c r="D248" s="35"/>
      <c r="E248" s="61" t="s">
        <v>193</v>
      </c>
      <c r="F248" s="62">
        <v>9128093</v>
      </c>
      <c r="G248" s="62">
        <f>262899-47837</f>
        <v>215062</v>
      </c>
      <c r="H248" s="166">
        <f t="shared" si="17"/>
        <v>9343155</v>
      </c>
    </row>
    <row r="249" spans="1:8" ht="37.5" x14ac:dyDescent="0.2">
      <c r="A249" s="33"/>
      <c r="B249" s="33"/>
      <c r="C249" s="33"/>
      <c r="D249" s="35"/>
      <c r="E249" s="77" t="s">
        <v>269</v>
      </c>
      <c r="F249" s="62">
        <v>1648408</v>
      </c>
      <c r="G249" s="62"/>
      <c r="H249" s="166">
        <f t="shared" si="17"/>
        <v>1648408</v>
      </c>
    </row>
    <row r="250" spans="1:8" x14ac:dyDescent="0.2">
      <c r="A250" s="33"/>
      <c r="B250" s="33"/>
      <c r="C250" s="33"/>
      <c r="D250" s="35"/>
      <c r="E250" s="77" t="s">
        <v>355</v>
      </c>
      <c r="F250" s="62">
        <v>48770</v>
      </c>
      <c r="G250" s="62">
        <f>76994</f>
        <v>76994</v>
      </c>
      <c r="H250" s="166">
        <f t="shared" si="17"/>
        <v>125764</v>
      </c>
    </row>
    <row r="251" spans="1:8" ht="37.5" x14ac:dyDescent="0.2">
      <c r="A251" s="57"/>
      <c r="B251" s="57"/>
      <c r="C251" s="57"/>
      <c r="D251" s="57"/>
      <c r="E251" s="77" t="s">
        <v>270</v>
      </c>
      <c r="F251" s="62">
        <v>78326</v>
      </c>
      <c r="G251" s="62"/>
      <c r="H251" s="166">
        <f t="shared" si="17"/>
        <v>78326</v>
      </c>
    </row>
    <row r="252" spans="1:8" ht="75" x14ac:dyDescent="0.2">
      <c r="A252" s="37" t="s">
        <v>143</v>
      </c>
      <c r="B252" s="37" t="s">
        <v>144</v>
      </c>
      <c r="C252" s="37" t="s">
        <v>145</v>
      </c>
      <c r="D252" s="38" t="s">
        <v>247</v>
      </c>
      <c r="E252" s="8"/>
      <c r="F252" s="52">
        <f>SUM(F253:F253)</f>
        <v>266021</v>
      </c>
      <c r="G252" s="52">
        <f>SUM(G253:G253)</f>
        <v>0</v>
      </c>
      <c r="H252" s="169">
        <f t="shared" si="17"/>
        <v>266021</v>
      </c>
    </row>
    <row r="253" spans="1:8" x14ac:dyDescent="0.2">
      <c r="A253" s="33"/>
      <c r="B253" s="33"/>
      <c r="C253" s="33"/>
      <c r="D253" s="35"/>
      <c r="E253" s="61" t="s">
        <v>193</v>
      </c>
      <c r="F253" s="62">
        <v>266021</v>
      </c>
      <c r="G253" s="62"/>
      <c r="H253" s="166">
        <f t="shared" si="17"/>
        <v>266021</v>
      </c>
    </row>
    <row r="254" spans="1:8" ht="56.25" x14ac:dyDescent="0.2">
      <c r="A254" s="37" t="s">
        <v>146</v>
      </c>
      <c r="B254" s="37" t="s">
        <v>52</v>
      </c>
      <c r="C254" s="37" t="s">
        <v>14</v>
      </c>
      <c r="D254" s="38" t="s">
        <v>248</v>
      </c>
      <c r="E254" s="8"/>
      <c r="F254" s="52">
        <f>SUM(F255:F257)</f>
        <v>627557</v>
      </c>
      <c r="G254" s="52">
        <f>SUM(G255:G257)</f>
        <v>-225517</v>
      </c>
      <c r="H254" s="169">
        <f t="shared" si="17"/>
        <v>402040</v>
      </c>
    </row>
    <row r="255" spans="1:8" x14ac:dyDescent="0.2">
      <c r="A255" s="33"/>
      <c r="B255" s="33"/>
      <c r="C255" s="33"/>
      <c r="D255" s="35"/>
      <c r="E255" s="61" t="s">
        <v>193</v>
      </c>
      <c r="F255" s="62">
        <v>516600</v>
      </c>
      <c r="G255" s="62">
        <f>-160048-72954</f>
        <v>-233002</v>
      </c>
      <c r="H255" s="166">
        <f t="shared" si="17"/>
        <v>283598</v>
      </c>
    </row>
    <row r="256" spans="1:8" x14ac:dyDescent="0.2">
      <c r="A256" s="33"/>
      <c r="B256" s="33"/>
      <c r="C256" s="33"/>
      <c r="D256" s="35"/>
      <c r="E256" s="77" t="s">
        <v>355</v>
      </c>
      <c r="F256" s="62">
        <v>36957</v>
      </c>
      <c r="G256" s="62">
        <f>7485</f>
        <v>7485</v>
      </c>
      <c r="H256" s="166">
        <f t="shared" si="17"/>
        <v>44442</v>
      </c>
    </row>
    <row r="257" spans="1:19" ht="37.5" x14ac:dyDescent="0.2">
      <c r="A257" s="57"/>
      <c r="B257" s="57"/>
      <c r="C257" s="57"/>
      <c r="D257" s="57"/>
      <c r="E257" s="77" t="s">
        <v>270</v>
      </c>
      <c r="F257" s="62">
        <v>74000</v>
      </c>
      <c r="G257" s="62"/>
      <c r="H257" s="166">
        <f t="shared" si="17"/>
        <v>74000</v>
      </c>
    </row>
    <row r="258" spans="1:19" ht="56.25" x14ac:dyDescent="0.2">
      <c r="A258" s="37" t="s">
        <v>147</v>
      </c>
      <c r="B258" s="37" t="s">
        <v>148</v>
      </c>
      <c r="C258" s="37" t="s">
        <v>149</v>
      </c>
      <c r="D258" s="38" t="s">
        <v>249</v>
      </c>
      <c r="E258" s="8"/>
      <c r="F258" s="52">
        <f>SUM(F259:F259)</f>
        <v>301040</v>
      </c>
      <c r="G258" s="52">
        <f>SUM(G259:G259)</f>
        <v>-83900</v>
      </c>
      <c r="H258" s="169">
        <f t="shared" si="17"/>
        <v>217140</v>
      </c>
    </row>
    <row r="259" spans="1:19" x14ac:dyDescent="0.2">
      <c r="A259" s="33"/>
      <c r="B259" s="33"/>
      <c r="C259" s="33"/>
      <c r="D259" s="35"/>
      <c r="E259" s="61" t="s">
        <v>193</v>
      </c>
      <c r="F259" s="62">
        <v>301040</v>
      </c>
      <c r="G259" s="62">
        <f>-43900-40000</f>
        <v>-83900</v>
      </c>
      <c r="H259" s="166">
        <f t="shared" si="17"/>
        <v>217140</v>
      </c>
    </row>
    <row r="260" spans="1:19" ht="37.5" x14ac:dyDescent="0.2">
      <c r="A260" s="114" t="s">
        <v>211</v>
      </c>
      <c r="B260" s="37" t="s">
        <v>210</v>
      </c>
      <c r="C260" s="37" t="s">
        <v>191</v>
      </c>
      <c r="D260" s="38" t="s">
        <v>250</v>
      </c>
      <c r="E260" s="61"/>
      <c r="F260" s="52">
        <f>SUM(F261:F261)</f>
        <v>100000</v>
      </c>
      <c r="G260" s="52">
        <f>SUM(G261:G261)</f>
        <v>0</v>
      </c>
      <c r="H260" s="169">
        <f t="shared" si="17"/>
        <v>100000</v>
      </c>
    </row>
    <row r="261" spans="1:19" x14ac:dyDescent="0.2">
      <c r="A261" s="33"/>
      <c r="B261" s="33"/>
      <c r="C261" s="33"/>
      <c r="D261" s="35"/>
      <c r="E261" s="61" t="s">
        <v>193</v>
      </c>
      <c r="F261" s="62">
        <v>100000</v>
      </c>
      <c r="G261" s="62"/>
      <c r="H261" s="166">
        <f t="shared" si="17"/>
        <v>100000</v>
      </c>
    </row>
    <row r="262" spans="1:19" ht="37.5" x14ac:dyDescent="0.2">
      <c r="A262" s="114" t="s">
        <v>189</v>
      </c>
      <c r="B262" s="50" t="s">
        <v>190</v>
      </c>
      <c r="C262" s="50" t="s">
        <v>191</v>
      </c>
      <c r="D262" s="115" t="s">
        <v>192</v>
      </c>
      <c r="E262" s="8"/>
      <c r="F262" s="52">
        <f>SUM(F263:F263)</f>
        <v>100000</v>
      </c>
      <c r="G262" s="52">
        <f>SUM(G263:G263)</f>
        <v>24000</v>
      </c>
      <c r="H262" s="169">
        <f t="shared" si="17"/>
        <v>124000</v>
      </c>
    </row>
    <row r="263" spans="1:19" x14ac:dyDescent="0.2">
      <c r="A263" s="33"/>
      <c r="B263" s="33"/>
      <c r="C263" s="33"/>
      <c r="D263" s="35"/>
      <c r="E263" s="61" t="s">
        <v>193</v>
      </c>
      <c r="F263" s="62">
        <v>100000</v>
      </c>
      <c r="G263" s="62">
        <f>24000</f>
        <v>24000</v>
      </c>
      <c r="H263" s="166">
        <f t="shared" si="17"/>
        <v>124000</v>
      </c>
    </row>
    <row r="264" spans="1:19" x14ac:dyDescent="0.2">
      <c r="A264" s="114" t="s">
        <v>209</v>
      </c>
      <c r="B264" s="50" t="s">
        <v>207</v>
      </c>
      <c r="C264" s="50" t="s">
        <v>191</v>
      </c>
      <c r="D264" s="115" t="s">
        <v>208</v>
      </c>
      <c r="E264" s="8"/>
      <c r="F264" s="52">
        <f>SUM(F265:F266)</f>
        <v>472489</v>
      </c>
      <c r="G264" s="52">
        <f>SUM(G265:G266)</f>
        <v>-24023</v>
      </c>
      <c r="H264" s="169">
        <f t="shared" si="17"/>
        <v>448466</v>
      </c>
    </row>
    <row r="265" spans="1:19" x14ac:dyDescent="0.2">
      <c r="A265" s="33"/>
      <c r="B265" s="33"/>
      <c r="C265" s="33"/>
      <c r="D265" s="35"/>
      <c r="E265" s="61" t="s">
        <v>193</v>
      </c>
      <c r="F265" s="62">
        <v>28223</v>
      </c>
      <c r="G265" s="62">
        <f>-24023</f>
        <v>-24023</v>
      </c>
      <c r="H265" s="166">
        <f t="shared" si="17"/>
        <v>4200</v>
      </c>
    </row>
    <row r="266" spans="1:19" ht="37.5" x14ac:dyDescent="0.2">
      <c r="A266" s="33"/>
      <c r="B266" s="33"/>
      <c r="C266" s="33"/>
      <c r="D266" s="35"/>
      <c r="E266" s="77" t="s">
        <v>269</v>
      </c>
      <c r="F266" s="62">
        <v>444266</v>
      </c>
      <c r="G266" s="62"/>
      <c r="H266" s="166">
        <f t="shared" si="17"/>
        <v>444266</v>
      </c>
    </row>
    <row r="267" spans="1:19" ht="37.5" x14ac:dyDescent="0.2">
      <c r="A267" s="50" t="s">
        <v>150</v>
      </c>
      <c r="B267" s="50" t="s">
        <v>151</v>
      </c>
      <c r="C267" s="50" t="s">
        <v>152</v>
      </c>
      <c r="D267" s="51" t="s">
        <v>153</v>
      </c>
      <c r="E267" s="8"/>
      <c r="F267" s="52">
        <f>SUM(F268:F269)</f>
        <v>394690</v>
      </c>
      <c r="G267" s="52">
        <f>SUM(G268:G269)</f>
        <v>0</v>
      </c>
      <c r="H267" s="169">
        <f t="shared" si="17"/>
        <v>394690</v>
      </c>
    </row>
    <row r="268" spans="1:19" x14ac:dyDescent="0.2">
      <c r="A268" s="33"/>
      <c r="B268" s="33"/>
      <c r="C268" s="33"/>
      <c r="D268" s="35"/>
      <c r="E268" s="61" t="s">
        <v>193</v>
      </c>
      <c r="F268" s="62">
        <v>387690</v>
      </c>
      <c r="G268" s="62"/>
      <c r="H268" s="166">
        <f t="shared" si="17"/>
        <v>387690</v>
      </c>
    </row>
    <row r="269" spans="1:19" x14ac:dyDescent="0.2">
      <c r="A269" s="33"/>
      <c r="B269" s="33"/>
      <c r="C269" s="33"/>
      <c r="D269" s="35"/>
      <c r="E269" s="77" t="s">
        <v>355</v>
      </c>
      <c r="F269" s="62">
        <v>7000</v>
      </c>
      <c r="G269" s="62"/>
      <c r="H269" s="166">
        <f t="shared" si="17"/>
        <v>7000</v>
      </c>
    </row>
    <row r="270" spans="1:19" ht="56.25" x14ac:dyDescent="0.2">
      <c r="A270" s="50" t="s">
        <v>154</v>
      </c>
      <c r="B270" s="50" t="s">
        <v>155</v>
      </c>
      <c r="C270" s="50" t="s">
        <v>113</v>
      </c>
      <c r="D270" s="51" t="s">
        <v>156</v>
      </c>
      <c r="E270" s="8"/>
      <c r="F270" s="52">
        <f>SUM(F271:F271)</f>
        <v>304838</v>
      </c>
      <c r="G270" s="52">
        <f>SUM(G271:G271)</f>
        <v>22100</v>
      </c>
      <c r="H270" s="169">
        <f t="shared" si="17"/>
        <v>326938</v>
      </c>
    </row>
    <row r="271" spans="1:19" x14ac:dyDescent="0.2">
      <c r="A271" s="33"/>
      <c r="B271" s="33"/>
      <c r="C271" s="33"/>
      <c r="D271" s="35"/>
      <c r="E271" s="61" t="s">
        <v>193</v>
      </c>
      <c r="F271" s="62">
        <v>304838</v>
      </c>
      <c r="G271" s="62">
        <f>22100</f>
        <v>22100</v>
      </c>
      <c r="H271" s="166">
        <f t="shared" si="17"/>
        <v>326938</v>
      </c>
    </row>
    <row r="272" spans="1:19" s="49" customFormat="1" x14ac:dyDescent="0.2">
      <c r="A272" s="43" t="s">
        <v>59</v>
      </c>
      <c r="B272" s="43"/>
      <c r="C272" s="43"/>
      <c r="D272" s="43" t="s">
        <v>60</v>
      </c>
      <c r="E272" s="35"/>
      <c r="F272" s="47">
        <f>F274+F279+F282+F284+F286</f>
        <v>13353169</v>
      </c>
      <c r="G272" s="47">
        <f>G274+G279+G282+G284+G286</f>
        <v>11508216</v>
      </c>
      <c r="H272" s="165">
        <f t="shared" si="17"/>
        <v>24861385</v>
      </c>
      <c r="I272" s="48"/>
      <c r="J272" s="48"/>
      <c r="K272" s="48"/>
      <c r="L272" s="48"/>
      <c r="M272" s="48"/>
      <c r="N272" s="48"/>
      <c r="O272" s="48"/>
      <c r="P272" s="48"/>
      <c r="Q272" s="48"/>
      <c r="R272" s="48"/>
      <c r="S272" s="48"/>
    </row>
    <row r="273" spans="1:19" s="49" customFormat="1" x14ac:dyDescent="0.2">
      <c r="A273" s="43" t="s">
        <v>61</v>
      </c>
      <c r="B273" s="43"/>
      <c r="C273" s="43"/>
      <c r="D273" s="46" t="s">
        <v>60</v>
      </c>
      <c r="E273" s="35"/>
      <c r="F273" s="47"/>
      <c r="G273" s="47"/>
      <c r="H273" s="165">
        <f t="shared" si="17"/>
        <v>0</v>
      </c>
      <c r="I273" s="48"/>
      <c r="J273" s="48"/>
      <c r="K273" s="48"/>
      <c r="L273" s="48"/>
      <c r="M273" s="48"/>
      <c r="N273" s="48"/>
      <c r="O273" s="48"/>
      <c r="P273" s="48"/>
      <c r="Q273" s="48"/>
      <c r="R273" s="48"/>
      <c r="S273" s="48"/>
    </row>
    <row r="274" spans="1:19" s="81" customFormat="1" ht="37.5" x14ac:dyDescent="0.2">
      <c r="A274" s="50" t="s">
        <v>62</v>
      </c>
      <c r="B274" s="50" t="s">
        <v>63</v>
      </c>
      <c r="C274" s="50" t="s">
        <v>64</v>
      </c>
      <c r="D274" s="51" t="s">
        <v>65</v>
      </c>
      <c r="E274" s="77"/>
      <c r="F274" s="52">
        <f>SUM(F275:F278)</f>
        <v>9830499</v>
      </c>
      <c r="G274" s="52">
        <f>SUM(G275:G278)</f>
        <v>11508216</v>
      </c>
      <c r="H274" s="169">
        <f t="shared" si="17"/>
        <v>21338715</v>
      </c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</row>
    <row r="275" spans="1:19" ht="37.5" x14ac:dyDescent="0.2">
      <c r="A275" s="57"/>
      <c r="B275" s="57"/>
      <c r="C275" s="57"/>
      <c r="D275" s="57"/>
      <c r="E275" s="61" t="s">
        <v>194</v>
      </c>
      <c r="F275" s="62">
        <v>6503739</v>
      </c>
      <c r="G275" s="62">
        <f>11498216</f>
        <v>11498216</v>
      </c>
      <c r="H275" s="166">
        <f t="shared" si="17"/>
        <v>18001955</v>
      </c>
    </row>
    <row r="276" spans="1:19" ht="75" x14ac:dyDescent="0.2">
      <c r="A276" s="57"/>
      <c r="B276" s="57"/>
      <c r="C276" s="57"/>
      <c r="D276" s="57"/>
      <c r="E276" s="61" t="s">
        <v>415</v>
      </c>
      <c r="F276" s="62">
        <v>3100160</v>
      </c>
      <c r="G276" s="62"/>
      <c r="H276" s="166">
        <f t="shared" si="17"/>
        <v>3100160</v>
      </c>
    </row>
    <row r="277" spans="1:19" ht="37.5" x14ac:dyDescent="0.2">
      <c r="A277" s="57"/>
      <c r="B277" s="57"/>
      <c r="C277" s="57"/>
      <c r="D277" s="57"/>
      <c r="E277" s="61" t="s">
        <v>516</v>
      </c>
      <c r="F277" s="62">
        <f>80600</f>
        <v>80600</v>
      </c>
      <c r="G277" s="62"/>
      <c r="H277" s="166">
        <f t="shared" si="17"/>
        <v>80600</v>
      </c>
    </row>
    <row r="278" spans="1:19" x14ac:dyDescent="0.2">
      <c r="A278" s="33"/>
      <c r="B278" s="33"/>
      <c r="C278" s="33"/>
      <c r="D278" s="35"/>
      <c r="E278" s="77" t="s">
        <v>355</v>
      </c>
      <c r="F278" s="62">
        <v>146000</v>
      </c>
      <c r="G278" s="62">
        <f>10000</f>
        <v>10000</v>
      </c>
      <c r="H278" s="166">
        <f t="shared" si="17"/>
        <v>156000</v>
      </c>
    </row>
    <row r="279" spans="1:19" ht="37.5" x14ac:dyDescent="0.2">
      <c r="A279" s="50" t="s">
        <v>66</v>
      </c>
      <c r="B279" s="50" t="s">
        <v>67</v>
      </c>
      <c r="C279" s="50" t="s">
        <v>68</v>
      </c>
      <c r="D279" s="51" t="s">
        <v>69</v>
      </c>
      <c r="E279" s="8"/>
      <c r="F279" s="52">
        <f>SUM(F280:F281)</f>
        <v>978901</v>
      </c>
      <c r="G279" s="52">
        <f>SUM(G280:G281)</f>
        <v>0</v>
      </c>
      <c r="H279" s="169">
        <f t="shared" si="17"/>
        <v>978901</v>
      </c>
    </row>
    <row r="280" spans="1:19" ht="37.5" x14ac:dyDescent="0.2">
      <c r="A280" s="57"/>
      <c r="B280" s="57"/>
      <c r="C280" s="57"/>
      <c r="D280" s="57"/>
      <c r="E280" s="61" t="s">
        <v>194</v>
      </c>
      <c r="F280" s="62">
        <v>778901</v>
      </c>
      <c r="G280" s="62"/>
      <c r="H280" s="166">
        <f t="shared" si="17"/>
        <v>778901</v>
      </c>
    </row>
    <row r="281" spans="1:19" ht="37.5" x14ac:dyDescent="0.2">
      <c r="A281" s="57"/>
      <c r="B281" s="57"/>
      <c r="C281" s="57"/>
      <c r="D281" s="57"/>
      <c r="E281" s="8" t="s">
        <v>517</v>
      </c>
      <c r="F281" s="62">
        <f>200000</f>
        <v>200000</v>
      </c>
      <c r="G281" s="62"/>
      <c r="H281" s="166">
        <f t="shared" ref="H281" si="19">F281+G281</f>
        <v>200000</v>
      </c>
    </row>
    <row r="282" spans="1:19" s="81" customFormat="1" ht="37.5" x14ac:dyDescent="0.2">
      <c r="A282" s="50" t="s">
        <v>70</v>
      </c>
      <c r="B282" s="50" t="s">
        <v>71</v>
      </c>
      <c r="C282" s="50" t="s">
        <v>72</v>
      </c>
      <c r="D282" s="51" t="s">
        <v>73</v>
      </c>
      <c r="E282" s="77"/>
      <c r="F282" s="52">
        <f>SUM(F283:F283)</f>
        <v>603304</v>
      </c>
      <c r="G282" s="52">
        <f>SUM(G283:G283)</f>
        <v>0</v>
      </c>
      <c r="H282" s="169">
        <f t="shared" si="17"/>
        <v>603304</v>
      </c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</row>
    <row r="283" spans="1:19" ht="37.5" x14ac:dyDescent="0.2">
      <c r="A283" s="57"/>
      <c r="B283" s="57"/>
      <c r="C283" s="57"/>
      <c r="D283" s="57"/>
      <c r="E283" s="61" t="s">
        <v>194</v>
      </c>
      <c r="F283" s="62">
        <v>603304</v>
      </c>
      <c r="G283" s="62"/>
      <c r="H283" s="166">
        <f t="shared" si="17"/>
        <v>603304</v>
      </c>
    </row>
    <row r="284" spans="1:19" s="81" customFormat="1" ht="56.25" x14ac:dyDescent="0.2">
      <c r="A284" s="50" t="s">
        <v>254</v>
      </c>
      <c r="B284" s="50" t="s">
        <v>255</v>
      </c>
      <c r="C284" s="50" t="s">
        <v>256</v>
      </c>
      <c r="D284" s="106" t="s">
        <v>257</v>
      </c>
      <c r="E284" s="77"/>
      <c r="F284" s="52">
        <f>SUM(F285:F285)</f>
        <v>298465</v>
      </c>
      <c r="G284" s="52">
        <f>SUM(G285:G285)</f>
        <v>0</v>
      </c>
      <c r="H284" s="169">
        <f t="shared" si="17"/>
        <v>298465</v>
      </c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</row>
    <row r="285" spans="1:19" ht="37.5" x14ac:dyDescent="0.2">
      <c r="A285" s="57"/>
      <c r="B285" s="57"/>
      <c r="C285" s="57"/>
      <c r="D285" s="57"/>
      <c r="E285" s="77" t="s">
        <v>269</v>
      </c>
      <c r="F285" s="62">
        <f>298465</f>
        <v>298465</v>
      </c>
      <c r="G285" s="62"/>
      <c r="H285" s="166">
        <f t="shared" si="17"/>
        <v>298465</v>
      </c>
    </row>
    <row r="286" spans="1:19" s="81" customFormat="1" ht="37.5" x14ac:dyDescent="0.2">
      <c r="A286" s="78" t="s">
        <v>401</v>
      </c>
      <c r="B286" s="78" t="s">
        <v>402</v>
      </c>
      <c r="C286" s="78" t="s">
        <v>404</v>
      </c>
      <c r="D286" s="50" t="s">
        <v>403</v>
      </c>
      <c r="E286" s="53"/>
      <c r="F286" s="52">
        <f>SUM(F287:F287)</f>
        <v>1642000</v>
      </c>
      <c r="G286" s="52">
        <f>SUM(G287:G287)</f>
        <v>0</v>
      </c>
      <c r="H286" s="169">
        <f t="shared" si="17"/>
        <v>1642000</v>
      </c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</row>
    <row r="287" spans="1:19" ht="56.25" x14ac:dyDescent="0.2">
      <c r="A287" s="57"/>
      <c r="B287" s="57"/>
      <c r="C287" s="57"/>
      <c r="D287" s="57"/>
      <c r="E287" s="61" t="s">
        <v>425</v>
      </c>
      <c r="F287" s="62">
        <f>1642000</f>
        <v>1642000</v>
      </c>
      <c r="G287" s="62"/>
      <c r="H287" s="166">
        <f t="shared" si="17"/>
        <v>1642000</v>
      </c>
    </row>
    <row r="288" spans="1:19" s="49" customFormat="1" ht="37.5" x14ac:dyDescent="0.2">
      <c r="A288" s="33" t="s">
        <v>42</v>
      </c>
      <c r="B288" s="33"/>
      <c r="C288" s="33"/>
      <c r="D288" s="33" t="s">
        <v>43</v>
      </c>
      <c r="E288" s="35"/>
      <c r="F288" s="47">
        <f>F290+F293+F295</f>
        <v>1238090</v>
      </c>
      <c r="G288" s="47">
        <f>G290+G293+G295</f>
        <v>-18883</v>
      </c>
      <c r="H288" s="165">
        <f t="shared" si="17"/>
        <v>1219207</v>
      </c>
      <c r="I288" s="48"/>
      <c r="J288" s="48"/>
      <c r="K288" s="48"/>
      <c r="L288" s="48"/>
      <c r="M288" s="48"/>
      <c r="N288" s="48"/>
      <c r="O288" s="48"/>
      <c r="P288" s="48"/>
      <c r="Q288" s="48"/>
      <c r="R288" s="48"/>
      <c r="S288" s="48"/>
    </row>
    <row r="289" spans="1:19" s="49" customFormat="1" ht="37.5" x14ac:dyDescent="0.2">
      <c r="A289" s="33" t="s">
        <v>44</v>
      </c>
      <c r="B289" s="33"/>
      <c r="C289" s="33"/>
      <c r="D289" s="54" t="s">
        <v>43</v>
      </c>
      <c r="E289" s="35"/>
      <c r="F289" s="47"/>
      <c r="G289" s="47"/>
      <c r="H289" s="165">
        <f t="shared" si="17"/>
        <v>0</v>
      </c>
      <c r="I289" s="48"/>
      <c r="J289" s="48"/>
      <c r="K289" s="48"/>
      <c r="L289" s="48"/>
      <c r="M289" s="48"/>
      <c r="N289" s="48"/>
      <c r="O289" s="48"/>
      <c r="P289" s="48"/>
      <c r="Q289" s="48"/>
      <c r="R289" s="48"/>
      <c r="S289" s="48"/>
    </row>
    <row r="290" spans="1:19" s="81" customFormat="1" ht="56.25" x14ac:dyDescent="0.2">
      <c r="A290" s="37" t="s">
        <v>45</v>
      </c>
      <c r="B290" s="50" t="s">
        <v>4</v>
      </c>
      <c r="C290" s="50" t="s">
        <v>5</v>
      </c>
      <c r="D290" s="51" t="s">
        <v>6</v>
      </c>
      <c r="E290" s="77"/>
      <c r="F290" s="52">
        <f>SUM(F291:F292)</f>
        <v>186671</v>
      </c>
      <c r="G290" s="52">
        <f>SUM(G291:G292)</f>
        <v>0</v>
      </c>
      <c r="H290" s="169">
        <f t="shared" si="17"/>
        <v>186671</v>
      </c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</row>
    <row r="291" spans="1:19" x14ac:dyDescent="0.2">
      <c r="A291" s="57"/>
      <c r="B291" s="58"/>
      <c r="C291" s="58"/>
      <c r="D291" s="59"/>
      <c r="E291" s="8" t="s">
        <v>74</v>
      </c>
      <c r="F291" s="62">
        <v>157916</v>
      </c>
      <c r="G291" s="62"/>
      <c r="H291" s="166">
        <f t="shared" si="17"/>
        <v>157916</v>
      </c>
    </row>
    <row r="292" spans="1:19" ht="37.5" x14ac:dyDescent="0.2">
      <c r="A292" s="57"/>
      <c r="B292" s="57"/>
      <c r="C292" s="57"/>
      <c r="D292" s="57"/>
      <c r="E292" s="77" t="s">
        <v>269</v>
      </c>
      <c r="F292" s="62">
        <f>28755</f>
        <v>28755</v>
      </c>
      <c r="G292" s="62"/>
      <c r="H292" s="166">
        <f t="shared" si="17"/>
        <v>28755</v>
      </c>
    </row>
    <row r="293" spans="1:19" s="81" customFormat="1" ht="37.5" x14ac:dyDescent="0.2">
      <c r="A293" s="37" t="s">
        <v>46</v>
      </c>
      <c r="B293" s="37" t="s">
        <v>47</v>
      </c>
      <c r="C293" s="37" t="s">
        <v>48</v>
      </c>
      <c r="D293" s="38" t="s">
        <v>49</v>
      </c>
      <c r="E293" s="77"/>
      <c r="F293" s="52">
        <f>SUM(F294)</f>
        <v>100000</v>
      </c>
      <c r="G293" s="52">
        <f>SUM(G294)</f>
        <v>0</v>
      </c>
      <c r="H293" s="169">
        <f t="shared" si="17"/>
        <v>100000</v>
      </c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</row>
    <row r="294" spans="1:19" ht="37.5" x14ac:dyDescent="0.2">
      <c r="A294" s="57"/>
      <c r="B294" s="58"/>
      <c r="C294" s="58"/>
      <c r="D294" s="59"/>
      <c r="E294" s="8" t="s">
        <v>75</v>
      </c>
      <c r="F294" s="62">
        <v>100000</v>
      </c>
      <c r="G294" s="62"/>
      <c r="H294" s="166">
        <f t="shared" si="17"/>
        <v>100000</v>
      </c>
    </row>
    <row r="295" spans="1:19" s="81" customFormat="1" ht="37.5" x14ac:dyDescent="0.2">
      <c r="A295" s="37" t="s">
        <v>374</v>
      </c>
      <c r="B295" s="37" t="s">
        <v>375</v>
      </c>
      <c r="C295" s="37" t="s">
        <v>52</v>
      </c>
      <c r="D295" s="38" t="s">
        <v>376</v>
      </c>
      <c r="E295" s="77"/>
      <c r="F295" s="52">
        <f>SUM(F296:F297)</f>
        <v>951419</v>
      </c>
      <c r="G295" s="52">
        <f>SUM(G296:G297)</f>
        <v>-18883</v>
      </c>
      <c r="H295" s="169">
        <f t="shared" si="17"/>
        <v>932536</v>
      </c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</row>
    <row r="296" spans="1:19" ht="37.5" x14ac:dyDescent="0.2">
      <c r="A296" s="57"/>
      <c r="B296" s="58"/>
      <c r="C296" s="58"/>
      <c r="D296" s="59"/>
      <c r="E296" s="61" t="s">
        <v>409</v>
      </c>
      <c r="F296" s="62">
        <v>898372</v>
      </c>
      <c r="G296" s="62">
        <f>-18883</f>
        <v>-18883</v>
      </c>
      <c r="H296" s="166">
        <f t="shared" si="17"/>
        <v>879489</v>
      </c>
    </row>
    <row r="297" spans="1:19" ht="56.25" x14ac:dyDescent="0.2">
      <c r="A297" s="57"/>
      <c r="B297" s="58"/>
      <c r="C297" s="58"/>
      <c r="D297" s="59"/>
      <c r="E297" s="61" t="s">
        <v>426</v>
      </c>
      <c r="F297" s="62">
        <v>53047</v>
      </c>
      <c r="G297" s="62"/>
      <c r="H297" s="166">
        <f t="shared" si="17"/>
        <v>53047</v>
      </c>
    </row>
    <row r="298" spans="1:19" ht="37.5" x14ac:dyDescent="0.2">
      <c r="A298" s="33" t="s">
        <v>160</v>
      </c>
      <c r="B298" s="33"/>
      <c r="C298" s="33"/>
      <c r="D298" s="29" t="s">
        <v>161</v>
      </c>
      <c r="E298" s="8"/>
      <c r="F298" s="47">
        <f>F300</f>
        <v>70000</v>
      </c>
      <c r="G298" s="47">
        <f>G300</f>
        <v>0</v>
      </c>
      <c r="H298" s="165">
        <f t="shared" si="17"/>
        <v>70000</v>
      </c>
    </row>
    <row r="299" spans="1:19" ht="37.5" x14ac:dyDescent="0.2">
      <c r="A299" s="33" t="s">
        <v>162</v>
      </c>
      <c r="B299" s="33"/>
      <c r="C299" s="33"/>
      <c r="D299" s="35" t="s">
        <v>161</v>
      </c>
      <c r="E299" s="8"/>
      <c r="F299" s="62"/>
      <c r="G299" s="62"/>
      <c r="H299" s="166">
        <f t="shared" si="17"/>
        <v>0</v>
      </c>
    </row>
    <row r="300" spans="1:19" ht="56.25" x14ac:dyDescent="0.2">
      <c r="A300" s="37" t="s">
        <v>163</v>
      </c>
      <c r="B300" s="50" t="s">
        <v>4</v>
      </c>
      <c r="C300" s="50" t="s">
        <v>5</v>
      </c>
      <c r="D300" s="51" t="s">
        <v>6</v>
      </c>
      <c r="E300" s="8"/>
      <c r="F300" s="52">
        <f>SUM(F301)</f>
        <v>70000</v>
      </c>
      <c r="G300" s="52">
        <f>SUM(G301)</f>
        <v>0</v>
      </c>
      <c r="H300" s="169">
        <f t="shared" si="17"/>
        <v>70000</v>
      </c>
    </row>
    <row r="301" spans="1:19" ht="37.5" x14ac:dyDescent="0.2">
      <c r="A301" s="57"/>
      <c r="B301" s="57"/>
      <c r="C301" s="57"/>
      <c r="D301" s="57"/>
      <c r="E301" s="8" t="s">
        <v>53</v>
      </c>
      <c r="F301" s="62">
        <v>70000</v>
      </c>
      <c r="G301" s="62"/>
      <c r="H301" s="166">
        <f t="shared" si="17"/>
        <v>70000</v>
      </c>
    </row>
    <row r="302" spans="1:19" s="49" customFormat="1" ht="37.5" x14ac:dyDescent="0.2">
      <c r="A302" s="29">
        <v>1000000</v>
      </c>
      <c r="B302" s="33"/>
      <c r="C302" s="33"/>
      <c r="D302" s="33" t="s">
        <v>11</v>
      </c>
      <c r="E302" s="35"/>
      <c r="F302" s="47">
        <f>F304+F306+F313+F309+F317</f>
        <v>1752117</v>
      </c>
      <c r="G302" s="47">
        <f>G304+G306+G313+G309+G317</f>
        <v>24000</v>
      </c>
      <c r="H302" s="165">
        <f t="shared" si="17"/>
        <v>1776117</v>
      </c>
      <c r="I302" s="48"/>
      <c r="J302" s="48"/>
      <c r="K302" s="48"/>
      <c r="L302" s="48"/>
      <c r="M302" s="48"/>
      <c r="N302" s="48"/>
      <c r="O302" s="48"/>
      <c r="P302" s="48"/>
      <c r="Q302" s="48"/>
      <c r="R302" s="48"/>
      <c r="S302" s="48"/>
    </row>
    <row r="303" spans="1:19" s="49" customFormat="1" ht="37.5" x14ac:dyDescent="0.2">
      <c r="A303" s="29">
        <v>1010000</v>
      </c>
      <c r="B303" s="33"/>
      <c r="C303" s="33"/>
      <c r="D303" s="54" t="s">
        <v>11</v>
      </c>
      <c r="E303" s="35"/>
      <c r="F303" s="47"/>
      <c r="G303" s="47"/>
      <c r="H303" s="165">
        <f t="shared" si="17"/>
        <v>0</v>
      </c>
      <c r="I303" s="48"/>
      <c r="J303" s="48"/>
      <c r="K303" s="48"/>
      <c r="L303" s="48"/>
      <c r="M303" s="48"/>
      <c r="N303" s="48"/>
      <c r="O303" s="48"/>
      <c r="P303" s="48"/>
      <c r="Q303" s="48"/>
      <c r="R303" s="48"/>
      <c r="S303" s="48"/>
    </row>
    <row r="304" spans="1:19" s="81" customFormat="1" ht="56.25" x14ac:dyDescent="0.2">
      <c r="A304" s="37" t="s">
        <v>12</v>
      </c>
      <c r="B304" s="50" t="s">
        <v>4</v>
      </c>
      <c r="C304" s="50" t="s">
        <v>5</v>
      </c>
      <c r="D304" s="51" t="s">
        <v>6</v>
      </c>
      <c r="E304" s="77"/>
      <c r="F304" s="52">
        <f>SUM(F305:F305)</f>
        <v>185500</v>
      </c>
      <c r="G304" s="52">
        <f>SUM(G305:G305)</f>
        <v>0</v>
      </c>
      <c r="H304" s="169">
        <f t="shared" si="17"/>
        <v>185500</v>
      </c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</row>
    <row r="305" spans="1:19" ht="37.5" x14ac:dyDescent="0.2">
      <c r="A305" s="57"/>
      <c r="B305" s="57"/>
      <c r="C305" s="57"/>
      <c r="D305" s="57"/>
      <c r="E305" s="8" t="s">
        <v>53</v>
      </c>
      <c r="F305" s="62">
        <v>185500</v>
      </c>
      <c r="G305" s="62"/>
      <c r="H305" s="166">
        <f t="shared" si="17"/>
        <v>185500</v>
      </c>
    </row>
    <row r="306" spans="1:19" s="81" customFormat="1" ht="37.5" x14ac:dyDescent="0.2">
      <c r="A306" s="38">
        <v>1011100</v>
      </c>
      <c r="B306" s="37" t="s">
        <v>13</v>
      </c>
      <c r="C306" s="37" t="s">
        <v>14</v>
      </c>
      <c r="D306" s="37" t="s">
        <v>251</v>
      </c>
      <c r="E306" s="77"/>
      <c r="F306" s="52">
        <f>SUM(F307:F308)</f>
        <v>921590</v>
      </c>
      <c r="G306" s="52">
        <f>SUM(G307:G308)</f>
        <v>0</v>
      </c>
      <c r="H306" s="169">
        <f t="shared" si="17"/>
        <v>921590</v>
      </c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</row>
    <row r="307" spans="1:19" s="81" customFormat="1" x14ac:dyDescent="0.2">
      <c r="A307" s="38"/>
      <c r="B307" s="37"/>
      <c r="C307" s="37"/>
      <c r="D307" s="37"/>
      <c r="E307" s="77" t="s">
        <v>355</v>
      </c>
      <c r="F307" s="52">
        <v>10000</v>
      </c>
      <c r="G307" s="52"/>
      <c r="H307" s="169">
        <f t="shared" si="17"/>
        <v>10000</v>
      </c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</row>
    <row r="308" spans="1:19" ht="37.5" x14ac:dyDescent="0.2">
      <c r="A308" s="57"/>
      <c r="B308" s="57"/>
      <c r="C308" s="57"/>
      <c r="D308" s="57"/>
      <c r="E308" s="8" t="s">
        <v>195</v>
      </c>
      <c r="F308" s="62">
        <v>911590</v>
      </c>
      <c r="G308" s="62"/>
      <c r="H308" s="166">
        <f t="shared" si="17"/>
        <v>911590</v>
      </c>
    </row>
    <row r="309" spans="1:19" s="81" customFormat="1" x14ac:dyDescent="0.2">
      <c r="A309" s="38">
        <v>1014030</v>
      </c>
      <c r="B309" s="37" t="s">
        <v>258</v>
      </c>
      <c r="C309" s="37" t="s">
        <v>259</v>
      </c>
      <c r="D309" s="37" t="s">
        <v>260</v>
      </c>
      <c r="E309" s="77"/>
      <c r="F309" s="52">
        <f>SUM(F310:F312)</f>
        <v>101400</v>
      </c>
      <c r="G309" s="52">
        <f>SUM(G310:G312)</f>
        <v>0</v>
      </c>
      <c r="H309" s="169">
        <f t="shared" si="17"/>
        <v>101400</v>
      </c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</row>
    <row r="310" spans="1:19" ht="37.5" x14ac:dyDescent="0.2">
      <c r="A310" s="57"/>
      <c r="B310" s="57"/>
      <c r="C310" s="57"/>
      <c r="D310" s="57"/>
      <c r="E310" s="8" t="s">
        <v>195</v>
      </c>
      <c r="F310" s="62">
        <f>75000</f>
        <v>75000</v>
      </c>
      <c r="G310" s="62"/>
      <c r="H310" s="166">
        <f>F310+G310</f>
        <v>75000</v>
      </c>
    </row>
    <row r="311" spans="1:19" s="81" customFormat="1" x14ac:dyDescent="0.2">
      <c r="A311" s="38"/>
      <c r="B311" s="37"/>
      <c r="C311" s="37"/>
      <c r="D311" s="37"/>
      <c r="E311" s="77" t="s">
        <v>355</v>
      </c>
      <c r="F311" s="62">
        <v>6800</v>
      </c>
      <c r="G311" s="62"/>
      <c r="H311" s="166">
        <f>F311+G311</f>
        <v>6800</v>
      </c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</row>
    <row r="312" spans="1:19" ht="37.5" x14ac:dyDescent="0.2">
      <c r="A312" s="57"/>
      <c r="B312" s="57"/>
      <c r="C312" s="57"/>
      <c r="D312" s="57"/>
      <c r="E312" s="77" t="s">
        <v>270</v>
      </c>
      <c r="F312" s="62">
        <f>9000-9000+19600</f>
        <v>19600</v>
      </c>
      <c r="G312" s="62"/>
      <c r="H312" s="166">
        <f t="shared" si="17"/>
        <v>19600</v>
      </c>
    </row>
    <row r="313" spans="1:19" s="81" customFormat="1" ht="56.25" x14ac:dyDescent="0.2">
      <c r="A313" s="38">
        <v>1014060</v>
      </c>
      <c r="B313" s="37" t="s">
        <v>15</v>
      </c>
      <c r="C313" s="37" t="s">
        <v>16</v>
      </c>
      <c r="D313" s="37" t="s">
        <v>17</v>
      </c>
      <c r="E313" s="77"/>
      <c r="F313" s="52">
        <f>SUM(F314:F316)</f>
        <v>157627</v>
      </c>
      <c r="G313" s="52">
        <f>SUM(G314:G316)</f>
        <v>24000</v>
      </c>
      <c r="H313" s="169">
        <f t="shared" si="17"/>
        <v>181627</v>
      </c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</row>
    <row r="314" spans="1:19" ht="37.5" x14ac:dyDescent="0.2">
      <c r="A314" s="57"/>
      <c r="B314" s="57"/>
      <c r="C314" s="57"/>
      <c r="D314" s="57"/>
      <c r="E314" s="8" t="s">
        <v>195</v>
      </c>
      <c r="F314" s="62">
        <v>157610</v>
      </c>
      <c r="G314" s="62"/>
      <c r="H314" s="166">
        <f t="shared" si="17"/>
        <v>157610</v>
      </c>
    </row>
    <row r="315" spans="1:19" s="81" customFormat="1" x14ac:dyDescent="0.2">
      <c r="A315" s="38"/>
      <c r="B315" s="37"/>
      <c r="C315" s="37"/>
      <c r="D315" s="37"/>
      <c r="E315" s="77" t="s">
        <v>355</v>
      </c>
      <c r="F315" s="62"/>
      <c r="G315" s="62">
        <f>24000</f>
        <v>24000</v>
      </c>
      <c r="H315" s="166">
        <f>F315+G315</f>
        <v>24000</v>
      </c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</row>
    <row r="316" spans="1:19" ht="37.5" x14ac:dyDescent="0.2">
      <c r="A316" s="57"/>
      <c r="B316" s="57"/>
      <c r="C316" s="57"/>
      <c r="D316" s="57"/>
      <c r="E316" s="77" t="s">
        <v>270</v>
      </c>
      <c r="F316" s="62">
        <v>17</v>
      </c>
      <c r="G316" s="62"/>
      <c r="H316" s="166">
        <f t="shared" si="17"/>
        <v>17</v>
      </c>
    </row>
    <row r="317" spans="1:19" s="81" customFormat="1" ht="37.5" x14ac:dyDescent="0.2">
      <c r="A317" s="38">
        <v>1018410</v>
      </c>
      <c r="B317" s="37" t="s">
        <v>367</v>
      </c>
      <c r="C317" s="37" t="s">
        <v>368</v>
      </c>
      <c r="D317" s="37" t="s">
        <v>369</v>
      </c>
      <c r="E317" s="77"/>
      <c r="F317" s="52">
        <f>SUM(F318:F318)</f>
        <v>386000</v>
      </c>
      <c r="G317" s="52">
        <f>SUM(G318:G318)</f>
        <v>0</v>
      </c>
      <c r="H317" s="169">
        <f t="shared" si="17"/>
        <v>386000</v>
      </c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</row>
    <row r="318" spans="1:19" x14ac:dyDescent="0.2">
      <c r="A318" s="57"/>
      <c r="B318" s="57"/>
      <c r="C318" s="57"/>
      <c r="D318" s="57"/>
      <c r="E318" s="8" t="s">
        <v>370</v>
      </c>
      <c r="F318" s="62">
        <f>386000</f>
        <v>386000</v>
      </c>
      <c r="G318" s="62"/>
      <c r="H318" s="166">
        <f t="shared" si="17"/>
        <v>386000</v>
      </c>
    </row>
    <row r="319" spans="1:19" s="49" customFormat="1" ht="37.5" x14ac:dyDescent="0.2">
      <c r="A319" s="33" t="s">
        <v>134</v>
      </c>
      <c r="B319" s="33"/>
      <c r="C319" s="33"/>
      <c r="D319" s="33" t="s">
        <v>135</v>
      </c>
      <c r="E319" s="35"/>
      <c r="F319" s="47">
        <f>F321</f>
        <v>29028</v>
      </c>
      <c r="G319" s="47">
        <f>G321</f>
        <v>0</v>
      </c>
      <c r="H319" s="165">
        <f t="shared" si="17"/>
        <v>29028</v>
      </c>
      <c r="I319" s="48"/>
      <c r="J319" s="48"/>
      <c r="K319" s="48"/>
      <c r="L319" s="48"/>
      <c r="M319" s="48"/>
      <c r="N319" s="48"/>
      <c r="O319" s="48"/>
      <c r="P319" s="48"/>
      <c r="Q319" s="48"/>
      <c r="R319" s="48"/>
      <c r="S319" s="48"/>
    </row>
    <row r="320" spans="1:19" s="49" customFormat="1" ht="37.5" x14ac:dyDescent="0.2">
      <c r="A320" s="33" t="s">
        <v>136</v>
      </c>
      <c r="B320" s="33"/>
      <c r="C320" s="33"/>
      <c r="D320" s="54" t="s">
        <v>135</v>
      </c>
      <c r="E320" s="35"/>
      <c r="F320" s="47"/>
      <c r="G320" s="47"/>
      <c r="H320" s="165">
        <f t="shared" si="17"/>
        <v>0</v>
      </c>
      <c r="I320" s="48"/>
      <c r="J320" s="48"/>
      <c r="K320" s="48"/>
      <c r="L320" s="48"/>
      <c r="M320" s="48"/>
      <c r="N320" s="48"/>
      <c r="O320" s="48"/>
      <c r="P320" s="48"/>
      <c r="Q320" s="48"/>
      <c r="R320" s="48"/>
      <c r="S320" s="48"/>
    </row>
    <row r="321" spans="1:19" s="81" customFormat="1" ht="56.25" x14ac:dyDescent="0.2">
      <c r="A321" s="37" t="s">
        <v>427</v>
      </c>
      <c r="B321" s="50" t="s">
        <v>4</v>
      </c>
      <c r="C321" s="50" t="s">
        <v>5</v>
      </c>
      <c r="D321" s="51" t="s">
        <v>6</v>
      </c>
      <c r="E321" s="77"/>
      <c r="F321" s="52">
        <f>SUM(F322:F322)</f>
        <v>29028</v>
      </c>
      <c r="G321" s="52">
        <f>SUM(G322:G322)</f>
        <v>0</v>
      </c>
      <c r="H321" s="169">
        <f t="shared" si="17"/>
        <v>29028</v>
      </c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</row>
    <row r="322" spans="1:19" ht="37.5" x14ac:dyDescent="0.2">
      <c r="A322" s="57"/>
      <c r="B322" s="57"/>
      <c r="C322" s="57"/>
      <c r="D322" s="57"/>
      <c r="E322" s="8" t="s">
        <v>53</v>
      </c>
      <c r="F322" s="62">
        <v>29028</v>
      </c>
      <c r="G322" s="62"/>
      <c r="H322" s="166">
        <f t="shared" si="17"/>
        <v>29028</v>
      </c>
    </row>
    <row r="323" spans="1:19" ht="56.25" x14ac:dyDescent="0.2">
      <c r="A323" s="29">
        <v>1200000</v>
      </c>
      <c r="B323" s="33"/>
      <c r="C323" s="33"/>
      <c r="D323" s="33" t="s">
        <v>116</v>
      </c>
      <c r="E323" s="35"/>
      <c r="F323" s="47">
        <f>F325+F327+F334+F355+F360+F353</f>
        <v>166154449</v>
      </c>
      <c r="G323" s="47">
        <f>G325+G327+G334+G355+G360+G353</f>
        <v>-32020226</v>
      </c>
      <c r="H323" s="165">
        <f t="shared" si="17"/>
        <v>134134223</v>
      </c>
    </row>
    <row r="324" spans="1:19" ht="56.25" x14ac:dyDescent="0.2">
      <c r="A324" s="29">
        <v>1210000</v>
      </c>
      <c r="B324" s="33"/>
      <c r="C324" s="33"/>
      <c r="D324" s="54" t="s">
        <v>116</v>
      </c>
      <c r="E324" s="8"/>
      <c r="F324" s="62"/>
      <c r="G324" s="62"/>
      <c r="H324" s="166">
        <f t="shared" si="17"/>
        <v>0</v>
      </c>
    </row>
    <row r="325" spans="1:19" ht="56.25" x14ac:dyDescent="0.2">
      <c r="A325" s="37" t="s">
        <v>117</v>
      </c>
      <c r="B325" s="50" t="s">
        <v>4</v>
      </c>
      <c r="C325" s="50" t="s">
        <v>5</v>
      </c>
      <c r="D325" s="51" t="s">
        <v>6</v>
      </c>
      <c r="E325" s="8"/>
      <c r="F325" s="52">
        <f>SUM(F326)</f>
        <v>100000</v>
      </c>
      <c r="G325" s="52">
        <f>SUM(G326)</f>
        <v>-10000</v>
      </c>
      <c r="H325" s="169">
        <f t="shared" si="17"/>
        <v>90000</v>
      </c>
    </row>
    <row r="326" spans="1:19" x14ac:dyDescent="0.2">
      <c r="A326" s="57"/>
      <c r="B326" s="57"/>
      <c r="C326" s="57"/>
      <c r="D326" s="57"/>
      <c r="E326" s="8" t="s">
        <v>124</v>
      </c>
      <c r="F326" s="62">
        <v>100000</v>
      </c>
      <c r="G326" s="62">
        <f>-10000</f>
        <v>-10000</v>
      </c>
      <c r="H326" s="166">
        <f t="shared" si="17"/>
        <v>90000</v>
      </c>
    </row>
    <row r="327" spans="1:19" ht="37.5" x14ac:dyDescent="0.2">
      <c r="A327" s="37" t="s">
        <v>118</v>
      </c>
      <c r="B327" s="37" t="s">
        <v>119</v>
      </c>
      <c r="C327" s="37" t="s">
        <v>51</v>
      </c>
      <c r="D327" s="37" t="s">
        <v>120</v>
      </c>
      <c r="E327" s="8"/>
      <c r="F327" s="52">
        <f>SUM(F328:F333)</f>
        <v>3782548</v>
      </c>
      <c r="G327" s="52">
        <f>SUM(G328:G333)</f>
        <v>-1272601</v>
      </c>
      <c r="H327" s="169">
        <f t="shared" ref="H327:H462" si="20">F327+G327</f>
        <v>2509947</v>
      </c>
    </row>
    <row r="328" spans="1:19" x14ac:dyDescent="0.2">
      <c r="A328" s="57"/>
      <c r="B328" s="57"/>
      <c r="C328" s="57"/>
      <c r="D328" s="57"/>
      <c r="E328" s="61" t="s">
        <v>120</v>
      </c>
      <c r="F328" s="62">
        <v>1610039</v>
      </c>
      <c r="G328" s="62">
        <f>-745000</f>
        <v>-745000</v>
      </c>
      <c r="H328" s="166">
        <f t="shared" si="20"/>
        <v>865039</v>
      </c>
    </row>
    <row r="329" spans="1:19" x14ac:dyDescent="0.2">
      <c r="A329" s="57"/>
      <c r="B329" s="57"/>
      <c r="C329" s="57"/>
      <c r="D329" s="57"/>
      <c r="E329" s="61" t="s">
        <v>213</v>
      </c>
      <c r="F329" s="62">
        <v>500000</v>
      </c>
      <c r="G329" s="62">
        <f>-393000</f>
        <v>-393000</v>
      </c>
      <c r="H329" s="166">
        <f t="shared" si="20"/>
        <v>107000</v>
      </c>
    </row>
    <row r="330" spans="1:19" ht="37.5" x14ac:dyDescent="0.2">
      <c r="A330" s="57"/>
      <c r="B330" s="57"/>
      <c r="C330" s="57"/>
      <c r="D330" s="57"/>
      <c r="E330" s="61" t="s">
        <v>284</v>
      </c>
      <c r="F330" s="62">
        <v>298157</v>
      </c>
      <c r="G330" s="62">
        <f>-144701</f>
        <v>-144701</v>
      </c>
      <c r="H330" s="166">
        <f t="shared" si="20"/>
        <v>153456</v>
      </c>
    </row>
    <row r="331" spans="1:19" ht="37.5" x14ac:dyDescent="0.2">
      <c r="A331" s="33"/>
      <c r="B331" s="33"/>
      <c r="C331" s="33"/>
      <c r="D331" s="35"/>
      <c r="E331" s="77" t="s">
        <v>269</v>
      </c>
      <c r="F331" s="62">
        <v>599480</v>
      </c>
      <c r="G331" s="62"/>
      <c r="H331" s="166">
        <f t="shared" si="20"/>
        <v>599480</v>
      </c>
    </row>
    <row r="332" spans="1:19" x14ac:dyDescent="0.2">
      <c r="A332" s="33"/>
      <c r="B332" s="33"/>
      <c r="C332" s="33"/>
      <c r="D332" s="35"/>
      <c r="E332" s="77" t="s">
        <v>355</v>
      </c>
      <c r="F332" s="62">
        <v>14920</v>
      </c>
      <c r="G332" s="62">
        <f>10100</f>
        <v>10100</v>
      </c>
      <c r="H332" s="166">
        <f t="shared" si="20"/>
        <v>25020</v>
      </c>
    </row>
    <row r="333" spans="1:19" ht="37.5" x14ac:dyDescent="0.2">
      <c r="A333" s="57"/>
      <c r="B333" s="57"/>
      <c r="C333" s="57"/>
      <c r="D333" s="57"/>
      <c r="E333" s="77" t="s">
        <v>270</v>
      </c>
      <c r="F333" s="62">
        <v>759952</v>
      </c>
      <c r="G333" s="62"/>
      <c r="H333" s="166">
        <f t="shared" si="20"/>
        <v>759952</v>
      </c>
    </row>
    <row r="334" spans="1:19" x14ac:dyDescent="0.2">
      <c r="A334" s="37" t="s">
        <v>121</v>
      </c>
      <c r="B334" s="37" t="s">
        <v>28</v>
      </c>
      <c r="C334" s="37" t="s">
        <v>29</v>
      </c>
      <c r="D334" s="37" t="s">
        <v>21</v>
      </c>
      <c r="E334" s="8"/>
      <c r="F334" s="52">
        <f>SUM(F335:F352)</f>
        <v>65387498</v>
      </c>
      <c r="G334" s="52">
        <f>SUM(G335:G352)</f>
        <v>-5247525</v>
      </c>
      <c r="H334" s="169">
        <f t="shared" si="20"/>
        <v>60139973</v>
      </c>
    </row>
    <row r="335" spans="1:19" x14ac:dyDescent="0.2">
      <c r="A335" s="57"/>
      <c r="B335" s="57"/>
      <c r="C335" s="57"/>
      <c r="D335" s="57"/>
      <c r="E335" s="61" t="s">
        <v>196</v>
      </c>
      <c r="F335" s="62">
        <v>10743350</v>
      </c>
      <c r="G335" s="62">
        <f>-1699000-850000</f>
        <v>-2549000</v>
      </c>
      <c r="H335" s="166">
        <f t="shared" si="20"/>
        <v>8194350</v>
      </c>
    </row>
    <row r="336" spans="1:19" x14ac:dyDescent="0.2">
      <c r="A336" s="57"/>
      <c r="B336" s="57"/>
      <c r="C336" s="57"/>
      <c r="D336" s="57"/>
      <c r="E336" s="61" t="s">
        <v>285</v>
      </c>
      <c r="F336" s="62">
        <v>3924400</v>
      </c>
      <c r="G336" s="62">
        <f>66000-350000</f>
        <v>-284000</v>
      </c>
      <c r="H336" s="166">
        <f t="shared" si="20"/>
        <v>3640400</v>
      </c>
    </row>
    <row r="337" spans="1:8" ht="37.5" x14ac:dyDescent="0.2">
      <c r="A337" s="57"/>
      <c r="B337" s="57"/>
      <c r="C337" s="57"/>
      <c r="D337" s="57"/>
      <c r="E337" s="61" t="s">
        <v>286</v>
      </c>
      <c r="F337" s="62">
        <v>24862729</v>
      </c>
      <c r="G337" s="62">
        <f>2783516+7163-3660000</f>
        <v>-869321</v>
      </c>
      <c r="H337" s="166">
        <f t="shared" si="20"/>
        <v>23993408</v>
      </c>
    </row>
    <row r="338" spans="1:8" x14ac:dyDescent="0.2">
      <c r="A338" s="57"/>
      <c r="B338" s="57"/>
      <c r="C338" s="57"/>
      <c r="D338" s="57"/>
      <c r="E338" s="61" t="s">
        <v>287</v>
      </c>
      <c r="F338" s="62">
        <v>3243925</v>
      </c>
      <c r="G338" s="62"/>
      <c r="H338" s="166">
        <f t="shared" si="20"/>
        <v>3243925</v>
      </c>
    </row>
    <row r="339" spans="1:8" ht="37.5" x14ac:dyDescent="0.2">
      <c r="A339" s="57"/>
      <c r="B339" s="57"/>
      <c r="C339" s="57"/>
      <c r="D339" s="57"/>
      <c r="E339" s="61" t="s">
        <v>288</v>
      </c>
      <c r="F339" s="62">
        <v>334840</v>
      </c>
      <c r="G339" s="62"/>
      <c r="H339" s="166">
        <f t="shared" si="20"/>
        <v>334840</v>
      </c>
    </row>
    <row r="340" spans="1:8" x14ac:dyDescent="0.2">
      <c r="A340" s="57"/>
      <c r="B340" s="57"/>
      <c r="C340" s="57"/>
      <c r="D340" s="57"/>
      <c r="E340" s="61" t="s">
        <v>289</v>
      </c>
      <c r="F340" s="62">
        <v>2668161</v>
      </c>
      <c r="G340" s="62">
        <f>-577000-100000</f>
        <v>-677000</v>
      </c>
      <c r="H340" s="166">
        <f t="shared" si="20"/>
        <v>1991161</v>
      </c>
    </row>
    <row r="341" spans="1:8" x14ac:dyDescent="0.2">
      <c r="A341" s="57"/>
      <c r="B341" s="57"/>
      <c r="C341" s="57"/>
      <c r="D341" s="57"/>
      <c r="E341" s="61" t="s">
        <v>290</v>
      </c>
      <c r="F341" s="62">
        <v>1994792</v>
      </c>
      <c r="G341" s="62">
        <f>-157000</f>
        <v>-157000</v>
      </c>
      <c r="H341" s="166">
        <f t="shared" si="20"/>
        <v>1837792</v>
      </c>
    </row>
    <row r="342" spans="1:8" x14ac:dyDescent="0.2">
      <c r="A342" s="57"/>
      <c r="B342" s="57"/>
      <c r="C342" s="57"/>
      <c r="D342" s="57"/>
      <c r="E342" s="61" t="s">
        <v>291</v>
      </c>
      <c r="F342" s="62">
        <v>960809</v>
      </c>
      <c r="G342" s="62"/>
      <c r="H342" s="166">
        <f t="shared" si="20"/>
        <v>960809</v>
      </c>
    </row>
    <row r="343" spans="1:8" x14ac:dyDescent="0.2">
      <c r="A343" s="57"/>
      <c r="B343" s="57"/>
      <c r="C343" s="57"/>
      <c r="D343" s="57"/>
      <c r="E343" s="61" t="s">
        <v>292</v>
      </c>
      <c r="F343" s="62">
        <v>49900</v>
      </c>
      <c r="G343" s="62"/>
      <c r="H343" s="166">
        <f t="shared" si="20"/>
        <v>49900</v>
      </c>
    </row>
    <row r="344" spans="1:8" x14ac:dyDescent="0.2">
      <c r="A344" s="57"/>
      <c r="B344" s="57"/>
      <c r="C344" s="57"/>
      <c r="D344" s="57"/>
      <c r="E344" s="61" t="s">
        <v>293</v>
      </c>
      <c r="F344" s="62">
        <v>166042</v>
      </c>
      <c r="G344" s="62"/>
      <c r="H344" s="166">
        <f t="shared" si="20"/>
        <v>166042</v>
      </c>
    </row>
    <row r="345" spans="1:8" x14ac:dyDescent="0.2">
      <c r="A345" s="57"/>
      <c r="B345" s="57"/>
      <c r="C345" s="57"/>
      <c r="D345" s="57"/>
      <c r="E345" s="61" t="s">
        <v>294</v>
      </c>
      <c r="F345" s="62">
        <v>1831685</v>
      </c>
      <c r="G345" s="62">
        <f>-37500-150000</f>
        <v>-187500</v>
      </c>
      <c r="H345" s="166">
        <f t="shared" si="20"/>
        <v>1644185</v>
      </c>
    </row>
    <row r="346" spans="1:8" ht="37.5" x14ac:dyDescent="0.2">
      <c r="A346" s="57"/>
      <c r="B346" s="57"/>
      <c r="C346" s="57"/>
      <c r="D346" s="57"/>
      <c r="E346" s="61" t="s">
        <v>295</v>
      </c>
      <c r="F346" s="62">
        <v>619830</v>
      </c>
      <c r="G346" s="62">
        <f>-204000</f>
        <v>-204000</v>
      </c>
      <c r="H346" s="166">
        <f t="shared" si="20"/>
        <v>415830</v>
      </c>
    </row>
    <row r="347" spans="1:8" ht="37.5" x14ac:dyDescent="0.2">
      <c r="A347" s="57"/>
      <c r="B347" s="57"/>
      <c r="C347" s="57"/>
      <c r="D347" s="57"/>
      <c r="E347" s="61" t="s">
        <v>296</v>
      </c>
      <c r="F347" s="62">
        <v>978338</v>
      </c>
      <c r="G347" s="62"/>
      <c r="H347" s="166">
        <f t="shared" si="20"/>
        <v>978338</v>
      </c>
    </row>
    <row r="348" spans="1:8" ht="37.5" x14ac:dyDescent="0.2">
      <c r="A348" s="57"/>
      <c r="B348" s="57"/>
      <c r="C348" s="57"/>
      <c r="D348" s="57"/>
      <c r="E348" s="61" t="s">
        <v>297</v>
      </c>
      <c r="F348" s="62">
        <v>254582</v>
      </c>
      <c r="G348" s="62">
        <f>-123822-20000</f>
        <v>-143822</v>
      </c>
      <c r="H348" s="166">
        <f t="shared" si="20"/>
        <v>110760</v>
      </c>
    </row>
    <row r="349" spans="1:8" ht="56.25" x14ac:dyDescent="0.2">
      <c r="A349" s="57"/>
      <c r="B349" s="57"/>
      <c r="C349" s="57"/>
      <c r="D349" s="57"/>
      <c r="E349" s="159" t="s">
        <v>511</v>
      </c>
      <c r="F349" s="62">
        <v>530000</v>
      </c>
      <c r="G349" s="62"/>
      <c r="H349" s="166">
        <f t="shared" si="20"/>
        <v>530000</v>
      </c>
    </row>
    <row r="350" spans="1:8" x14ac:dyDescent="0.2">
      <c r="A350" s="33"/>
      <c r="B350" s="33"/>
      <c r="C350" s="33"/>
      <c r="D350" s="35"/>
      <c r="E350" s="77" t="s">
        <v>355</v>
      </c>
      <c r="F350" s="62">
        <v>166057</v>
      </c>
      <c r="G350" s="62">
        <f>9460</f>
        <v>9460</v>
      </c>
      <c r="H350" s="166">
        <f t="shared" si="20"/>
        <v>175517</v>
      </c>
    </row>
    <row r="351" spans="1:8" ht="37.5" x14ac:dyDescent="0.2">
      <c r="A351" s="57"/>
      <c r="B351" s="57"/>
      <c r="C351" s="57"/>
      <c r="D351" s="57"/>
      <c r="E351" s="77" t="s">
        <v>270</v>
      </c>
      <c r="F351" s="62">
        <v>357950</v>
      </c>
      <c r="G351" s="62"/>
      <c r="H351" s="166">
        <f t="shared" si="20"/>
        <v>357950</v>
      </c>
    </row>
    <row r="352" spans="1:8" ht="37.5" x14ac:dyDescent="0.2">
      <c r="A352" s="33"/>
      <c r="B352" s="33"/>
      <c r="C352" s="33"/>
      <c r="D352" s="35"/>
      <c r="E352" s="77" t="s">
        <v>269</v>
      </c>
      <c r="F352" s="62">
        <v>11700108</v>
      </c>
      <c r="G352" s="62">
        <f>-185342</f>
        <v>-185342</v>
      </c>
      <c r="H352" s="166">
        <f t="shared" si="20"/>
        <v>11514766</v>
      </c>
    </row>
    <row r="353" spans="1:8" ht="37.5" x14ac:dyDescent="0.2">
      <c r="A353" s="37" t="s">
        <v>489</v>
      </c>
      <c r="B353" s="37" t="s">
        <v>171</v>
      </c>
      <c r="C353" s="37" t="s">
        <v>51</v>
      </c>
      <c r="D353" s="37" t="s">
        <v>172</v>
      </c>
      <c r="E353" s="8"/>
      <c r="F353" s="52">
        <f>SUM(F354)</f>
        <v>500000</v>
      </c>
      <c r="G353" s="52">
        <f>SUM(G354)</f>
        <v>-490000</v>
      </c>
      <c r="H353" s="169">
        <f t="shared" ref="H353:H354" si="21">F353+G353</f>
        <v>10000</v>
      </c>
    </row>
    <row r="354" spans="1:8" ht="93.75" x14ac:dyDescent="0.2">
      <c r="A354" s="57"/>
      <c r="B354" s="57"/>
      <c r="C354" s="57"/>
      <c r="D354" s="57"/>
      <c r="E354" s="8" t="s">
        <v>490</v>
      </c>
      <c r="F354" s="62">
        <f>500000</f>
        <v>500000</v>
      </c>
      <c r="G354" s="62">
        <f>-490000</f>
        <v>-490000</v>
      </c>
      <c r="H354" s="166">
        <f t="shared" si="21"/>
        <v>10000</v>
      </c>
    </row>
    <row r="355" spans="1:8" ht="37.5" x14ac:dyDescent="0.2">
      <c r="A355" s="37" t="s">
        <v>122</v>
      </c>
      <c r="B355" s="37" t="s">
        <v>25</v>
      </c>
      <c r="C355" s="37" t="s">
        <v>26</v>
      </c>
      <c r="D355" s="38" t="s">
        <v>22</v>
      </c>
      <c r="E355" s="8"/>
      <c r="F355" s="52">
        <f>SUM(F356:F359)</f>
        <v>19721861</v>
      </c>
      <c r="G355" s="52">
        <f>SUM(G356:G359)</f>
        <v>-3900000</v>
      </c>
      <c r="H355" s="169">
        <f t="shared" si="20"/>
        <v>15821861</v>
      </c>
    </row>
    <row r="356" spans="1:8" ht="37.5" x14ac:dyDescent="0.2">
      <c r="A356" s="57"/>
      <c r="B356" s="57"/>
      <c r="C356" s="57"/>
      <c r="D356" s="57"/>
      <c r="E356" s="8" t="s">
        <v>125</v>
      </c>
      <c r="F356" s="62">
        <v>5858207</v>
      </c>
      <c r="G356" s="62">
        <f>-900000</f>
        <v>-900000</v>
      </c>
      <c r="H356" s="166">
        <f t="shared" si="20"/>
        <v>4958207</v>
      </c>
    </row>
    <row r="357" spans="1:8" ht="37.5" x14ac:dyDescent="0.2">
      <c r="A357" s="57"/>
      <c r="B357" s="57"/>
      <c r="C357" s="57"/>
      <c r="D357" s="57"/>
      <c r="E357" s="8" t="s">
        <v>284</v>
      </c>
      <c r="F357" s="62">
        <v>127082</v>
      </c>
      <c r="G357" s="62"/>
      <c r="H357" s="166">
        <f t="shared" si="20"/>
        <v>127082</v>
      </c>
    </row>
    <row r="358" spans="1:8" ht="37.5" x14ac:dyDescent="0.2">
      <c r="A358" s="57"/>
      <c r="B358" s="57"/>
      <c r="C358" s="57"/>
      <c r="D358" s="57"/>
      <c r="E358" s="8" t="s">
        <v>218</v>
      </c>
      <c r="F358" s="62">
        <v>13563000</v>
      </c>
      <c r="G358" s="62">
        <f>-3000000</f>
        <v>-3000000</v>
      </c>
      <c r="H358" s="166">
        <f t="shared" si="20"/>
        <v>10563000</v>
      </c>
    </row>
    <row r="359" spans="1:8" ht="37.5" x14ac:dyDescent="0.2">
      <c r="A359" s="57"/>
      <c r="B359" s="57"/>
      <c r="C359" s="57"/>
      <c r="D359" s="57"/>
      <c r="E359" s="77" t="s">
        <v>270</v>
      </c>
      <c r="F359" s="62">
        <v>173572</v>
      </c>
      <c r="G359" s="62"/>
      <c r="H359" s="166">
        <f t="shared" si="20"/>
        <v>173572</v>
      </c>
    </row>
    <row r="360" spans="1:8" ht="37.5" x14ac:dyDescent="0.2">
      <c r="A360" s="37" t="s">
        <v>123</v>
      </c>
      <c r="B360" s="37" t="s">
        <v>8</v>
      </c>
      <c r="C360" s="37" t="s">
        <v>9</v>
      </c>
      <c r="D360" s="83" t="s">
        <v>10</v>
      </c>
      <c r="E360" s="8"/>
      <c r="F360" s="52">
        <f>SUM(F361:F375)</f>
        <v>76662542</v>
      </c>
      <c r="G360" s="52">
        <f>SUM(G361:G375)</f>
        <v>-21100100</v>
      </c>
      <c r="H360" s="169">
        <f t="shared" si="20"/>
        <v>55562442</v>
      </c>
    </row>
    <row r="361" spans="1:8" ht="56.25" x14ac:dyDescent="0.2">
      <c r="A361" s="57"/>
      <c r="B361" s="57"/>
      <c r="C361" s="57"/>
      <c r="D361" s="57"/>
      <c r="E361" s="8" t="s">
        <v>126</v>
      </c>
      <c r="F361" s="62">
        <v>10300000</v>
      </c>
      <c r="G361" s="62">
        <f>-4000000</f>
        <v>-4000000</v>
      </c>
      <c r="H361" s="166">
        <f t="shared" si="20"/>
        <v>6300000</v>
      </c>
    </row>
    <row r="362" spans="1:8" ht="56.25" x14ac:dyDescent="0.2">
      <c r="A362" s="57"/>
      <c r="B362" s="57"/>
      <c r="C362" s="57"/>
      <c r="D362" s="57"/>
      <c r="E362" s="8" t="s">
        <v>127</v>
      </c>
      <c r="F362" s="62">
        <v>4300000</v>
      </c>
      <c r="G362" s="62">
        <f>-1740000-1000000</f>
        <v>-2740000</v>
      </c>
      <c r="H362" s="166">
        <f t="shared" si="20"/>
        <v>1560000</v>
      </c>
    </row>
    <row r="363" spans="1:8" ht="75" x14ac:dyDescent="0.2">
      <c r="A363" s="57"/>
      <c r="B363" s="57"/>
      <c r="C363" s="57"/>
      <c r="D363" s="57"/>
      <c r="E363" s="8" t="s">
        <v>298</v>
      </c>
      <c r="F363" s="62">
        <v>5500000</v>
      </c>
      <c r="G363" s="62">
        <f>-2000000-1500000-1220000</f>
        <v>-4720000</v>
      </c>
      <c r="H363" s="166">
        <f t="shared" si="20"/>
        <v>780000</v>
      </c>
    </row>
    <row r="364" spans="1:8" ht="56.25" x14ac:dyDescent="0.2">
      <c r="A364" s="57"/>
      <c r="B364" s="57"/>
      <c r="C364" s="57"/>
      <c r="D364" s="57"/>
      <c r="E364" s="9" t="s">
        <v>299</v>
      </c>
      <c r="F364" s="62">
        <v>1000000</v>
      </c>
      <c r="G364" s="62">
        <f>-800000</f>
        <v>-800000</v>
      </c>
      <c r="H364" s="166">
        <f t="shared" si="20"/>
        <v>200000</v>
      </c>
    </row>
    <row r="365" spans="1:8" ht="37.5" x14ac:dyDescent="0.2">
      <c r="A365" s="57"/>
      <c r="B365" s="57"/>
      <c r="C365" s="57"/>
      <c r="D365" s="57"/>
      <c r="E365" s="9" t="s">
        <v>383</v>
      </c>
      <c r="F365" s="62">
        <v>49000</v>
      </c>
      <c r="G365" s="62"/>
      <c r="H365" s="166">
        <f t="shared" si="20"/>
        <v>49000</v>
      </c>
    </row>
    <row r="366" spans="1:8" ht="56.25" x14ac:dyDescent="0.2">
      <c r="A366" s="57"/>
      <c r="B366" s="57"/>
      <c r="C366" s="57"/>
      <c r="D366" s="57"/>
      <c r="E366" s="9" t="s">
        <v>128</v>
      </c>
      <c r="F366" s="62">
        <v>5748311</v>
      </c>
      <c r="G366" s="62">
        <f>-1000000-500000</f>
        <v>-1500000</v>
      </c>
      <c r="H366" s="166">
        <f t="shared" si="20"/>
        <v>4248311</v>
      </c>
    </row>
    <row r="367" spans="1:8" ht="56.25" x14ac:dyDescent="0.2">
      <c r="A367" s="57"/>
      <c r="B367" s="57"/>
      <c r="C367" s="57"/>
      <c r="D367" s="57"/>
      <c r="E367" s="9" t="s">
        <v>129</v>
      </c>
      <c r="F367" s="62">
        <v>3400000</v>
      </c>
      <c r="G367" s="62">
        <f>-1200000</f>
        <v>-1200000</v>
      </c>
      <c r="H367" s="166">
        <f t="shared" si="20"/>
        <v>2200000</v>
      </c>
    </row>
    <row r="368" spans="1:8" ht="56.25" x14ac:dyDescent="0.2">
      <c r="A368" s="57"/>
      <c r="B368" s="57"/>
      <c r="C368" s="57"/>
      <c r="D368" s="57"/>
      <c r="E368" s="9" t="s">
        <v>214</v>
      </c>
      <c r="F368" s="62">
        <v>1000000</v>
      </c>
      <c r="G368" s="62">
        <f>-500000-500000</f>
        <v>-1000000</v>
      </c>
      <c r="H368" s="166">
        <f t="shared" si="20"/>
        <v>0</v>
      </c>
    </row>
    <row r="369" spans="1:9" ht="37.5" x14ac:dyDescent="0.2">
      <c r="A369" s="57"/>
      <c r="B369" s="57"/>
      <c r="C369" s="57"/>
      <c r="D369" s="57"/>
      <c r="E369" s="9" t="s">
        <v>382</v>
      </c>
      <c r="F369" s="62">
        <v>49000</v>
      </c>
      <c r="G369" s="62"/>
      <c r="H369" s="166">
        <f t="shared" si="20"/>
        <v>49000</v>
      </c>
    </row>
    <row r="370" spans="1:9" ht="37.5" x14ac:dyDescent="0.2">
      <c r="A370" s="57"/>
      <c r="B370" s="57"/>
      <c r="C370" s="57"/>
      <c r="D370" s="57"/>
      <c r="E370" s="9" t="s">
        <v>130</v>
      </c>
      <c r="F370" s="62">
        <v>990000</v>
      </c>
      <c r="G370" s="62"/>
      <c r="H370" s="166">
        <f t="shared" si="20"/>
        <v>990000</v>
      </c>
    </row>
    <row r="371" spans="1:9" ht="56.25" x14ac:dyDescent="0.2">
      <c r="A371" s="57"/>
      <c r="B371" s="57"/>
      <c r="C371" s="57"/>
      <c r="D371" s="57"/>
      <c r="E371" s="9" t="s">
        <v>131</v>
      </c>
      <c r="F371" s="62">
        <v>23303600</v>
      </c>
      <c r="G371" s="62">
        <f>2010000</f>
        <v>2010000</v>
      </c>
      <c r="H371" s="166">
        <f t="shared" si="20"/>
        <v>25313600</v>
      </c>
    </row>
    <row r="372" spans="1:9" ht="56.25" x14ac:dyDescent="0.2">
      <c r="A372" s="57"/>
      <c r="B372" s="57"/>
      <c r="C372" s="57"/>
      <c r="D372" s="57"/>
      <c r="E372" s="9" t="s">
        <v>503</v>
      </c>
      <c r="F372" s="62">
        <v>9998234</v>
      </c>
      <c r="G372" s="62">
        <f>-5000000-2000000-2000000</f>
        <v>-9000000</v>
      </c>
      <c r="H372" s="166">
        <f t="shared" si="20"/>
        <v>998234</v>
      </c>
    </row>
    <row r="373" spans="1:9" ht="56.25" x14ac:dyDescent="0.2">
      <c r="A373" s="57"/>
      <c r="B373" s="57"/>
      <c r="C373" s="57"/>
      <c r="D373" s="57"/>
      <c r="E373" s="9" t="s">
        <v>132</v>
      </c>
      <c r="F373" s="62">
        <v>6749904</v>
      </c>
      <c r="G373" s="62">
        <f>1800000</f>
        <v>1800000</v>
      </c>
      <c r="H373" s="166">
        <f t="shared" si="20"/>
        <v>8549904</v>
      </c>
    </row>
    <row r="374" spans="1:9" ht="37.5" x14ac:dyDescent="0.2">
      <c r="A374" s="57"/>
      <c r="B374" s="57"/>
      <c r="C374" s="57"/>
      <c r="D374" s="57"/>
      <c r="E374" s="9" t="s">
        <v>133</v>
      </c>
      <c r="F374" s="62">
        <v>3788993</v>
      </c>
      <c r="G374" s="62">
        <f>49900</f>
        <v>49900</v>
      </c>
      <c r="H374" s="166">
        <f t="shared" si="20"/>
        <v>3838893</v>
      </c>
    </row>
    <row r="375" spans="1:9" ht="56.25" x14ac:dyDescent="0.2">
      <c r="A375" s="37"/>
      <c r="B375" s="37"/>
      <c r="C375" s="37"/>
      <c r="D375" s="37"/>
      <c r="E375" s="61" t="s">
        <v>233</v>
      </c>
      <c r="F375" s="62">
        <v>485500</v>
      </c>
      <c r="G375" s="62"/>
      <c r="H375" s="166">
        <f t="shared" si="20"/>
        <v>485500</v>
      </c>
    </row>
    <row r="376" spans="1:9" ht="37.5" x14ac:dyDescent="0.2">
      <c r="A376" s="29">
        <v>1500000</v>
      </c>
      <c r="B376" s="57"/>
      <c r="C376" s="57"/>
      <c r="D376" s="29" t="s">
        <v>82</v>
      </c>
      <c r="E376" s="61"/>
      <c r="F376" s="30">
        <f>F380+F435+F470+F476+F479+F482+F486+F462+F378</f>
        <v>180318568</v>
      </c>
      <c r="G376" s="30">
        <f>G380+G435+G470+G476+G479+G482+G486+G462+G378</f>
        <v>-64739783</v>
      </c>
      <c r="H376" s="167">
        <f t="shared" si="20"/>
        <v>115578785</v>
      </c>
    </row>
    <row r="377" spans="1:9" ht="37.5" x14ac:dyDescent="0.2">
      <c r="A377" s="29">
        <v>1510000</v>
      </c>
      <c r="B377" s="57"/>
      <c r="C377" s="57"/>
      <c r="D377" s="35" t="s">
        <v>82</v>
      </c>
      <c r="E377" s="61"/>
      <c r="F377" s="62"/>
      <c r="G377" s="62"/>
      <c r="H377" s="166">
        <f t="shared" si="20"/>
        <v>0</v>
      </c>
    </row>
    <row r="378" spans="1:9" x14ac:dyDescent="0.2">
      <c r="A378" s="38">
        <v>1510180</v>
      </c>
      <c r="B378" s="50" t="s">
        <v>35</v>
      </c>
      <c r="C378" s="50" t="s">
        <v>36</v>
      </c>
      <c r="D378" s="51" t="s">
        <v>37</v>
      </c>
      <c r="E378" s="61"/>
      <c r="F378" s="62">
        <f>F379</f>
        <v>1600000</v>
      </c>
      <c r="G378" s="52">
        <f>G379</f>
        <v>0</v>
      </c>
      <c r="H378" s="168">
        <f t="shared" si="20"/>
        <v>1600000</v>
      </c>
    </row>
    <row r="379" spans="1:9" ht="37.5" x14ac:dyDescent="0.2">
      <c r="A379" s="29"/>
      <c r="B379" s="57"/>
      <c r="C379" s="57"/>
      <c r="D379" s="35"/>
      <c r="E379" s="3" t="s">
        <v>442</v>
      </c>
      <c r="F379" s="62">
        <v>1600000</v>
      </c>
      <c r="G379" s="62"/>
      <c r="H379" s="172">
        <f t="shared" si="20"/>
        <v>1600000</v>
      </c>
    </row>
    <row r="380" spans="1:9" ht="37.5" x14ac:dyDescent="0.2">
      <c r="A380" s="37" t="s">
        <v>76</v>
      </c>
      <c r="B380" s="37" t="s">
        <v>25</v>
      </c>
      <c r="C380" s="37" t="s">
        <v>26</v>
      </c>
      <c r="D380" s="38" t="s">
        <v>22</v>
      </c>
      <c r="E380" s="28"/>
      <c r="F380" s="40">
        <f>SUM(F381:F434)</f>
        <v>128220182</v>
      </c>
      <c r="G380" s="40">
        <f>SUM(G381:G434)</f>
        <v>-54175183</v>
      </c>
      <c r="H380" s="168">
        <f t="shared" si="20"/>
        <v>74044999</v>
      </c>
      <c r="I380" s="116"/>
    </row>
    <row r="381" spans="1:9" x14ac:dyDescent="0.2">
      <c r="A381" s="37"/>
      <c r="B381" s="37"/>
      <c r="C381" s="37"/>
      <c r="D381" s="38"/>
      <c r="E381" s="28" t="s">
        <v>85</v>
      </c>
      <c r="F381" s="40"/>
      <c r="G381" s="40"/>
      <c r="H381" s="168">
        <f>F381+G381</f>
        <v>0</v>
      </c>
    </row>
    <row r="382" spans="1:9" ht="75" x14ac:dyDescent="0.2">
      <c r="A382" s="37"/>
      <c r="B382" s="57"/>
      <c r="C382" s="57"/>
      <c r="D382" s="38"/>
      <c r="E382" s="7" t="s">
        <v>86</v>
      </c>
      <c r="F382" s="62">
        <v>7067637</v>
      </c>
      <c r="G382" s="62">
        <f>-5721700-1000000</f>
        <v>-6721700</v>
      </c>
      <c r="H382" s="166">
        <f>F382+G382</f>
        <v>345937</v>
      </c>
    </row>
    <row r="383" spans="1:9" ht="93.75" x14ac:dyDescent="0.2">
      <c r="A383" s="37"/>
      <c r="B383" s="57"/>
      <c r="C383" s="57"/>
      <c r="D383" s="38"/>
      <c r="E383" s="7" t="s">
        <v>87</v>
      </c>
      <c r="F383" s="62">
        <v>1000000</v>
      </c>
      <c r="G383" s="62">
        <f>-300000</f>
        <v>-300000</v>
      </c>
      <c r="H383" s="166">
        <f>F383+G383</f>
        <v>700000</v>
      </c>
    </row>
    <row r="384" spans="1:9" ht="75" x14ac:dyDescent="0.2">
      <c r="A384" s="37"/>
      <c r="B384" s="57"/>
      <c r="C384" s="57"/>
      <c r="D384" s="38"/>
      <c r="E384" s="7" t="s">
        <v>88</v>
      </c>
      <c r="F384" s="62">
        <v>6781354</v>
      </c>
      <c r="G384" s="62">
        <f>-4794852</f>
        <v>-4794852</v>
      </c>
      <c r="H384" s="166">
        <f>F384+G384</f>
        <v>1986502</v>
      </c>
    </row>
    <row r="385" spans="1:8" ht="37.5" x14ac:dyDescent="0.2">
      <c r="A385" s="37"/>
      <c r="B385" s="57"/>
      <c r="C385" s="57"/>
      <c r="D385" s="38"/>
      <c r="E385" s="7" t="s">
        <v>345</v>
      </c>
      <c r="F385" s="62">
        <v>16785284</v>
      </c>
      <c r="G385" s="62">
        <f>-1100000</f>
        <v>-1100000</v>
      </c>
      <c r="H385" s="166">
        <f>F385+G385</f>
        <v>15685284</v>
      </c>
    </row>
    <row r="386" spans="1:8" x14ac:dyDescent="0.2">
      <c r="A386" s="37"/>
      <c r="B386" s="57"/>
      <c r="C386" s="57"/>
      <c r="D386" s="38"/>
      <c r="E386" s="28" t="s">
        <v>243</v>
      </c>
      <c r="F386" s="62"/>
      <c r="G386" s="62"/>
      <c r="H386" s="166"/>
    </row>
    <row r="387" spans="1:8" ht="93.75" x14ac:dyDescent="0.2">
      <c r="A387" s="37"/>
      <c r="B387" s="57"/>
      <c r="C387" s="57"/>
      <c r="D387" s="38"/>
      <c r="E387" s="7" t="s">
        <v>305</v>
      </c>
      <c r="F387" s="62">
        <v>2208549</v>
      </c>
      <c r="G387" s="62">
        <f>-100000</f>
        <v>-100000</v>
      </c>
      <c r="H387" s="166">
        <f t="shared" si="20"/>
        <v>2108549</v>
      </c>
    </row>
    <row r="388" spans="1:8" ht="56.25" x14ac:dyDescent="0.2">
      <c r="A388" s="37"/>
      <c r="B388" s="57"/>
      <c r="C388" s="57"/>
      <c r="D388" s="38"/>
      <c r="E388" s="4" t="s">
        <v>443</v>
      </c>
      <c r="F388" s="62">
        <v>300000</v>
      </c>
      <c r="G388" s="62"/>
      <c r="H388" s="166">
        <f t="shared" si="20"/>
        <v>300000</v>
      </c>
    </row>
    <row r="389" spans="1:8" ht="56.25" x14ac:dyDescent="0.2">
      <c r="A389" s="37"/>
      <c r="B389" s="57"/>
      <c r="C389" s="57"/>
      <c r="D389" s="38"/>
      <c r="E389" s="7" t="s">
        <v>302</v>
      </c>
      <c r="F389" s="62">
        <v>2998000</v>
      </c>
      <c r="G389" s="62">
        <f>-1500000</f>
        <v>-1500000</v>
      </c>
      <c r="H389" s="166">
        <f t="shared" si="20"/>
        <v>1498000</v>
      </c>
    </row>
    <row r="390" spans="1:8" ht="37.5" x14ac:dyDescent="0.2">
      <c r="A390" s="37"/>
      <c r="B390" s="57"/>
      <c r="C390" s="57"/>
      <c r="D390" s="38"/>
      <c r="E390" s="7" t="s">
        <v>303</v>
      </c>
      <c r="F390" s="62">
        <v>951431</v>
      </c>
      <c r="G390" s="62"/>
      <c r="H390" s="166">
        <f t="shared" si="20"/>
        <v>951431</v>
      </c>
    </row>
    <row r="391" spans="1:8" ht="37.5" x14ac:dyDescent="0.2">
      <c r="A391" s="37"/>
      <c r="B391" s="57"/>
      <c r="C391" s="57"/>
      <c r="D391" s="38"/>
      <c r="E391" s="117" t="s">
        <v>364</v>
      </c>
      <c r="F391" s="62">
        <v>2160000</v>
      </c>
      <c r="G391" s="62">
        <f>-1000000</f>
        <v>-1000000</v>
      </c>
      <c r="H391" s="166">
        <f t="shared" si="20"/>
        <v>1160000</v>
      </c>
    </row>
    <row r="392" spans="1:8" ht="56.25" x14ac:dyDescent="0.2">
      <c r="A392" s="37"/>
      <c r="B392" s="57"/>
      <c r="C392" s="57"/>
      <c r="D392" s="38"/>
      <c r="E392" s="7" t="s">
        <v>304</v>
      </c>
      <c r="F392" s="62">
        <v>48356</v>
      </c>
      <c r="G392" s="62"/>
      <c r="H392" s="166">
        <f t="shared" si="20"/>
        <v>48356</v>
      </c>
    </row>
    <row r="393" spans="1:8" ht="37.5" x14ac:dyDescent="0.2">
      <c r="A393" s="37"/>
      <c r="B393" s="57"/>
      <c r="C393" s="57"/>
      <c r="D393" s="38"/>
      <c r="E393" s="7" t="s">
        <v>301</v>
      </c>
      <c r="F393" s="62">
        <v>730233</v>
      </c>
      <c r="G393" s="62">
        <f>-130000</f>
        <v>-130000</v>
      </c>
      <c r="H393" s="166">
        <f t="shared" si="20"/>
        <v>600233</v>
      </c>
    </row>
    <row r="394" spans="1:8" ht="37.5" x14ac:dyDescent="0.2">
      <c r="A394" s="37"/>
      <c r="B394" s="57"/>
      <c r="C394" s="57"/>
      <c r="D394" s="38"/>
      <c r="E394" s="7" t="s">
        <v>381</v>
      </c>
      <c r="F394" s="62">
        <v>0</v>
      </c>
      <c r="G394" s="62">
        <f>577000</f>
        <v>577000</v>
      </c>
      <c r="H394" s="166">
        <f t="shared" si="20"/>
        <v>577000</v>
      </c>
    </row>
    <row r="395" spans="1:8" ht="37.5" x14ac:dyDescent="0.2">
      <c r="A395" s="37"/>
      <c r="B395" s="57"/>
      <c r="C395" s="57"/>
      <c r="D395" s="38"/>
      <c r="E395" s="7" t="s">
        <v>203</v>
      </c>
      <c r="F395" s="62">
        <v>13883394</v>
      </c>
      <c r="G395" s="62">
        <f>-10848400-1423150</f>
        <v>-12271550</v>
      </c>
      <c r="H395" s="166">
        <f>F395+G395</f>
        <v>1611844</v>
      </c>
    </row>
    <row r="396" spans="1:8" ht="37.5" x14ac:dyDescent="0.2">
      <c r="A396" s="37"/>
      <c r="B396" s="57"/>
      <c r="C396" s="57"/>
      <c r="D396" s="38"/>
      <c r="E396" s="7" t="s">
        <v>328</v>
      </c>
      <c r="F396" s="62">
        <v>150000</v>
      </c>
      <c r="G396" s="62"/>
      <c r="H396" s="166">
        <f t="shared" si="20"/>
        <v>150000</v>
      </c>
    </row>
    <row r="397" spans="1:8" ht="37.5" x14ac:dyDescent="0.2">
      <c r="A397" s="37"/>
      <c r="B397" s="57"/>
      <c r="C397" s="57"/>
      <c r="D397" s="38"/>
      <c r="E397" s="7" t="s">
        <v>387</v>
      </c>
      <c r="F397" s="62">
        <v>2002054</v>
      </c>
      <c r="G397" s="62">
        <f>-1500000-500000</f>
        <v>-2000000</v>
      </c>
      <c r="H397" s="166">
        <f t="shared" si="20"/>
        <v>2054</v>
      </c>
    </row>
    <row r="398" spans="1:8" ht="37.5" x14ac:dyDescent="0.2">
      <c r="A398" s="37"/>
      <c r="B398" s="57"/>
      <c r="C398" s="57"/>
      <c r="D398" s="38"/>
      <c r="E398" s="28" t="s">
        <v>227</v>
      </c>
      <c r="F398" s="62">
        <v>0</v>
      </c>
      <c r="G398" s="62"/>
      <c r="H398" s="166">
        <f t="shared" si="20"/>
        <v>0</v>
      </c>
    </row>
    <row r="399" spans="1:8" x14ac:dyDescent="0.2">
      <c r="A399" s="37"/>
      <c r="B399" s="57"/>
      <c r="C399" s="57"/>
      <c r="D399" s="38"/>
      <c r="E399" s="7" t="s">
        <v>306</v>
      </c>
      <c r="F399" s="62">
        <v>2747177</v>
      </c>
      <c r="G399" s="62">
        <f>-500000</f>
        <v>-500000</v>
      </c>
      <c r="H399" s="166">
        <f t="shared" si="20"/>
        <v>2247177</v>
      </c>
    </row>
    <row r="400" spans="1:8" x14ac:dyDescent="0.2">
      <c r="A400" s="37"/>
      <c r="B400" s="57"/>
      <c r="C400" s="57"/>
      <c r="D400" s="38"/>
      <c r="E400" s="7" t="s">
        <v>308</v>
      </c>
      <c r="F400" s="62">
        <v>1351000</v>
      </c>
      <c r="G400" s="62"/>
      <c r="H400" s="166">
        <f t="shared" si="20"/>
        <v>1351000</v>
      </c>
    </row>
    <row r="401" spans="1:8" x14ac:dyDescent="0.2">
      <c r="A401" s="37"/>
      <c r="B401" s="57"/>
      <c r="C401" s="57"/>
      <c r="D401" s="38"/>
      <c r="E401" s="7" t="s">
        <v>342</v>
      </c>
      <c r="F401" s="62">
        <v>470000</v>
      </c>
      <c r="G401" s="62"/>
      <c r="H401" s="166">
        <f t="shared" si="20"/>
        <v>470000</v>
      </c>
    </row>
    <row r="402" spans="1:8" x14ac:dyDescent="0.2">
      <c r="A402" s="37"/>
      <c r="B402" s="57"/>
      <c r="C402" s="57"/>
      <c r="D402" s="38"/>
      <c r="E402" s="7" t="s">
        <v>343</v>
      </c>
      <c r="F402" s="62">
        <v>2100000</v>
      </c>
      <c r="G402" s="62">
        <f>-900000</f>
        <v>-900000</v>
      </c>
      <c r="H402" s="166">
        <f t="shared" si="20"/>
        <v>1200000</v>
      </c>
    </row>
    <row r="403" spans="1:8" x14ac:dyDescent="0.2">
      <c r="A403" s="37"/>
      <c r="B403" s="57"/>
      <c r="C403" s="57"/>
      <c r="D403" s="38"/>
      <c r="E403" s="7" t="s">
        <v>344</v>
      </c>
      <c r="F403" s="62">
        <v>2300000</v>
      </c>
      <c r="G403" s="62"/>
      <c r="H403" s="166">
        <f t="shared" si="20"/>
        <v>2300000</v>
      </c>
    </row>
    <row r="404" spans="1:8" x14ac:dyDescent="0.2">
      <c r="A404" s="37"/>
      <c r="B404" s="57"/>
      <c r="C404" s="57"/>
      <c r="D404" s="38"/>
      <c r="E404" s="7" t="s">
        <v>346</v>
      </c>
      <c r="F404" s="62">
        <v>837886</v>
      </c>
      <c r="G404" s="62"/>
      <c r="H404" s="166">
        <f t="shared" si="20"/>
        <v>837886</v>
      </c>
    </row>
    <row r="405" spans="1:8" x14ac:dyDescent="0.2">
      <c r="A405" s="37"/>
      <c r="B405" s="57"/>
      <c r="C405" s="57"/>
      <c r="D405" s="38"/>
      <c r="E405" s="7" t="s">
        <v>347</v>
      </c>
      <c r="F405" s="62">
        <v>2650000</v>
      </c>
      <c r="G405" s="62">
        <f>-2000000</f>
        <v>-2000000</v>
      </c>
      <c r="H405" s="166">
        <f t="shared" si="20"/>
        <v>650000</v>
      </c>
    </row>
    <row r="406" spans="1:8" x14ac:dyDescent="0.2">
      <c r="A406" s="37"/>
      <c r="B406" s="57"/>
      <c r="C406" s="57"/>
      <c r="D406" s="38"/>
      <c r="E406" s="7" t="s">
        <v>384</v>
      </c>
      <c r="F406" s="62">
        <v>120000</v>
      </c>
      <c r="G406" s="62"/>
      <c r="H406" s="166">
        <f t="shared" si="20"/>
        <v>120000</v>
      </c>
    </row>
    <row r="407" spans="1:8" x14ac:dyDescent="0.2">
      <c r="A407" s="37"/>
      <c r="B407" s="57"/>
      <c r="C407" s="57"/>
      <c r="D407" s="38"/>
      <c r="E407" s="7" t="s">
        <v>385</v>
      </c>
      <c r="F407" s="62">
        <v>1466606</v>
      </c>
      <c r="G407" s="62"/>
      <c r="H407" s="166">
        <f t="shared" si="20"/>
        <v>1466606</v>
      </c>
    </row>
    <row r="408" spans="1:8" x14ac:dyDescent="0.2">
      <c r="A408" s="37"/>
      <c r="B408" s="57"/>
      <c r="C408" s="57"/>
      <c r="D408" s="38"/>
      <c r="E408" s="7" t="s">
        <v>386</v>
      </c>
      <c r="F408" s="62">
        <v>100000</v>
      </c>
      <c r="G408" s="62"/>
      <c r="H408" s="166">
        <f t="shared" si="20"/>
        <v>100000</v>
      </c>
    </row>
    <row r="409" spans="1:8" ht="37.5" x14ac:dyDescent="0.2">
      <c r="A409" s="37"/>
      <c r="B409" s="57"/>
      <c r="C409" s="57"/>
      <c r="D409" s="38"/>
      <c r="E409" s="7" t="s">
        <v>309</v>
      </c>
      <c r="F409" s="62">
        <v>299046</v>
      </c>
      <c r="G409" s="62"/>
      <c r="H409" s="166">
        <f t="shared" si="20"/>
        <v>299046</v>
      </c>
    </row>
    <row r="410" spans="1:8" x14ac:dyDescent="0.3">
      <c r="A410" s="37"/>
      <c r="B410" s="57"/>
      <c r="C410" s="57"/>
      <c r="D410" s="38"/>
      <c r="E410" s="118" t="s">
        <v>311</v>
      </c>
      <c r="F410" s="62">
        <v>2536637</v>
      </c>
      <c r="G410" s="62">
        <f>-500000</f>
        <v>-500000</v>
      </c>
      <c r="H410" s="166">
        <f t="shared" si="20"/>
        <v>2036637</v>
      </c>
    </row>
    <row r="411" spans="1:8" x14ac:dyDescent="0.2">
      <c r="A411" s="37"/>
      <c r="B411" s="57"/>
      <c r="C411" s="57"/>
      <c r="D411" s="38"/>
      <c r="E411" s="7" t="s">
        <v>390</v>
      </c>
      <c r="F411" s="62">
        <v>150000</v>
      </c>
      <c r="G411" s="62">
        <f>1000000</f>
        <v>1000000</v>
      </c>
      <c r="H411" s="166">
        <f t="shared" si="20"/>
        <v>1150000</v>
      </c>
    </row>
    <row r="412" spans="1:8" x14ac:dyDescent="0.2">
      <c r="A412" s="37"/>
      <c r="B412" s="57"/>
      <c r="C412" s="57"/>
      <c r="D412" s="38"/>
      <c r="E412" s="7" t="s">
        <v>391</v>
      </c>
      <c r="F412" s="62">
        <v>1050000</v>
      </c>
      <c r="G412" s="62"/>
      <c r="H412" s="166">
        <f t="shared" si="20"/>
        <v>1050000</v>
      </c>
    </row>
    <row r="413" spans="1:8" x14ac:dyDescent="0.2">
      <c r="A413" s="37"/>
      <c r="B413" s="57"/>
      <c r="C413" s="57"/>
      <c r="D413" s="38"/>
      <c r="E413" s="7" t="s">
        <v>392</v>
      </c>
      <c r="F413" s="62">
        <v>219952</v>
      </c>
      <c r="G413" s="62"/>
      <c r="H413" s="166">
        <f t="shared" si="20"/>
        <v>219952</v>
      </c>
    </row>
    <row r="414" spans="1:8" x14ac:dyDescent="0.2">
      <c r="A414" s="37"/>
      <c r="B414" s="57"/>
      <c r="C414" s="57"/>
      <c r="D414" s="38"/>
      <c r="E414" s="7" t="s">
        <v>414</v>
      </c>
      <c r="F414" s="62">
        <v>92740</v>
      </c>
      <c r="G414" s="62"/>
      <c r="H414" s="166">
        <f t="shared" si="20"/>
        <v>92740</v>
      </c>
    </row>
    <row r="415" spans="1:8" ht="37.5" x14ac:dyDescent="0.2">
      <c r="A415" s="37"/>
      <c r="B415" s="57"/>
      <c r="C415" s="57"/>
      <c r="D415" s="38"/>
      <c r="E415" s="7" t="s">
        <v>205</v>
      </c>
      <c r="F415" s="62">
        <v>100000</v>
      </c>
      <c r="G415" s="62">
        <f>-100000</f>
        <v>-100000</v>
      </c>
      <c r="H415" s="166">
        <f t="shared" si="20"/>
        <v>0</v>
      </c>
    </row>
    <row r="416" spans="1:8" ht="75" x14ac:dyDescent="0.2">
      <c r="A416" s="37"/>
      <c r="B416" s="57"/>
      <c r="C416" s="57"/>
      <c r="D416" s="38"/>
      <c r="E416" s="7" t="s">
        <v>206</v>
      </c>
      <c r="F416" s="62">
        <v>68773</v>
      </c>
      <c r="G416" s="62"/>
      <c r="H416" s="166">
        <f t="shared" si="20"/>
        <v>68773</v>
      </c>
    </row>
    <row r="417" spans="1:8" ht="37.5" x14ac:dyDescent="0.2">
      <c r="A417" s="37"/>
      <c r="B417" s="57"/>
      <c r="C417" s="57"/>
      <c r="D417" s="38"/>
      <c r="E417" s="7" t="s">
        <v>84</v>
      </c>
      <c r="F417" s="62">
        <v>1000000</v>
      </c>
      <c r="G417" s="62">
        <f>-900000</f>
        <v>-900000</v>
      </c>
      <c r="H417" s="166">
        <f t="shared" si="20"/>
        <v>100000</v>
      </c>
    </row>
    <row r="418" spans="1:8" x14ac:dyDescent="0.2">
      <c r="A418" s="37"/>
      <c r="B418" s="37"/>
      <c r="C418" s="37"/>
      <c r="D418" s="38"/>
      <c r="E418" s="28" t="s">
        <v>244</v>
      </c>
      <c r="F418" s="40">
        <v>0</v>
      </c>
      <c r="G418" s="40"/>
      <c r="H418" s="166">
        <f t="shared" si="20"/>
        <v>0</v>
      </c>
    </row>
    <row r="419" spans="1:8" x14ac:dyDescent="0.2">
      <c r="A419" s="37"/>
      <c r="B419" s="37"/>
      <c r="C419" s="37"/>
      <c r="D419" s="38"/>
      <c r="E419" s="7" t="s">
        <v>480</v>
      </c>
      <c r="F419" s="40">
        <v>19387913</v>
      </c>
      <c r="G419" s="60">
        <f>3052790-16423642-237229-81000</f>
        <v>-13689081</v>
      </c>
      <c r="H419" s="166">
        <f t="shared" si="20"/>
        <v>5698832</v>
      </c>
    </row>
    <row r="420" spans="1:8" ht="37.5" x14ac:dyDescent="0.2">
      <c r="A420" s="37"/>
      <c r="B420" s="57"/>
      <c r="C420" s="57"/>
      <c r="D420" s="38"/>
      <c r="E420" s="9" t="s">
        <v>327</v>
      </c>
      <c r="F420" s="62">
        <v>130000</v>
      </c>
      <c r="G420" s="62"/>
      <c r="H420" s="166">
        <f t="shared" ref="H420:H432" si="22">F420+G420</f>
        <v>130000</v>
      </c>
    </row>
    <row r="421" spans="1:8" ht="37.5" x14ac:dyDescent="0.2">
      <c r="A421" s="37"/>
      <c r="B421" s="57"/>
      <c r="C421" s="57"/>
      <c r="D421" s="38"/>
      <c r="E421" s="7" t="s">
        <v>286</v>
      </c>
      <c r="F421" s="62">
        <v>29044585</v>
      </c>
      <c r="G421" s="62">
        <f>-1500000-45000-5600000</f>
        <v>-7145000</v>
      </c>
      <c r="H421" s="166">
        <f t="shared" si="22"/>
        <v>21899585</v>
      </c>
    </row>
    <row r="422" spans="1:8" ht="37.5" x14ac:dyDescent="0.2">
      <c r="A422" s="37"/>
      <c r="B422" s="57"/>
      <c r="C422" s="57"/>
      <c r="D422" s="38"/>
      <c r="E422" s="7" t="s">
        <v>365</v>
      </c>
      <c r="F422" s="62">
        <v>777692</v>
      </c>
      <c r="G422" s="62"/>
      <c r="H422" s="166">
        <f t="shared" si="22"/>
        <v>777692</v>
      </c>
    </row>
    <row r="423" spans="1:8" ht="37.5" x14ac:dyDescent="0.2">
      <c r="A423" s="37"/>
      <c r="B423" s="57"/>
      <c r="C423" s="57"/>
      <c r="D423" s="38"/>
      <c r="E423" s="7" t="s">
        <v>491</v>
      </c>
      <c r="F423" s="62">
        <v>600000</v>
      </c>
      <c r="G423" s="62"/>
      <c r="H423" s="166">
        <f t="shared" si="22"/>
        <v>600000</v>
      </c>
    </row>
    <row r="424" spans="1:8" ht="37.5" x14ac:dyDescent="0.2">
      <c r="A424" s="37"/>
      <c r="B424" s="57"/>
      <c r="C424" s="57"/>
      <c r="D424" s="38"/>
      <c r="E424" s="4" t="s">
        <v>444</v>
      </c>
      <c r="F424" s="62">
        <v>50000</v>
      </c>
      <c r="G424" s="62"/>
      <c r="H424" s="166">
        <f t="shared" si="22"/>
        <v>50000</v>
      </c>
    </row>
    <row r="425" spans="1:8" ht="37.5" x14ac:dyDescent="0.2">
      <c r="A425" s="37"/>
      <c r="B425" s="57"/>
      <c r="C425" s="57"/>
      <c r="D425" s="38"/>
      <c r="E425" s="4" t="s">
        <v>446</v>
      </c>
      <c r="F425" s="62">
        <v>50000</v>
      </c>
      <c r="G425" s="62"/>
      <c r="H425" s="166">
        <f t="shared" si="22"/>
        <v>50000</v>
      </c>
    </row>
    <row r="426" spans="1:8" ht="37.5" x14ac:dyDescent="0.2">
      <c r="A426" s="37"/>
      <c r="B426" s="57"/>
      <c r="C426" s="57"/>
      <c r="D426" s="38"/>
      <c r="E426" s="4" t="s">
        <v>447</v>
      </c>
      <c r="F426" s="62">
        <v>50000</v>
      </c>
      <c r="G426" s="62"/>
      <c r="H426" s="166">
        <f t="shared" si="22"/>
        <v>50000</v>
      </c>
    </row>
    <row r="427" spans="1:8" ht="37.5" x14ac:dyDescent="0.2">
      <c r="A427" s="37"/>
      <c r="B427" s="57"/>
      <c r="C427" s="57"/>
      <c r="D427" s="38"/>
      <c r="E427" s="4" t="s">
        <v>445</v>
      </c>
      <c r="F427" s="62">
        <v>50000</v>
      </c>
      <c r="G427" s="62"/>
      <c r="H427" s="166">
        <f t="shared" si="22"/>
        <v>50000</v>
      </c>
    </row>
    <row r="428" spans="1:8" ht="37.5" x14ac:dyDescent="0.2">
      <c r="A428" s="37"/>
      <c r="B428" s="57"/>
      <c r="C428" s="57"/>
      <c r="D428" s="38"/>
      <c r="E428" s="7" t="s">
        <v>389</v>
      </c>
      <c r="F428" s="62">
        <v>30890</v>
      </c>
      <c r="G428" s="62"/>
      <c r="H428" s="166">
        <f t="shared" si="22"/>
        <v>30890</v>
      </c>
    </row>
    <row r="429" spans="1:8" ht="37.5" x14ac:dyDescent="0.2">
      <c r="A429" s="37"/>
      <c r="B429" s="57"/>
      <c r="C429" s="57"/>
      <c r="D429" s="38"/>
      <c r="E429" s="7" t="s">
        <v>312</v>
      </c>
      <c r="F429" s="62">
        <v>384379</v>
      </c>
      <c r="G429" s="62"/>
      <c r="H429" s="166">
        <f t="shared" si="22"/>
        <v>384379</v>
      </c>
    </row>
    <row r="430" spans="1:8" ht="37.5" x14ac:dyDescent="0.2">
      <c r="A430" s="37"/>
      <c r="B430" s="57"/>
      <c r="C430" s="57"/>
      <c r="D430" s="38"/>
      <c r="E430" s="7" t="s">
        <v>307</v>
      </c>
      <c r="F430" s="62">
        <v>96280</v>
      </c>
      <c r="G430" s="62"/>
      <c r="H430" s="166">
        <f t="shared" si="22"/>
        <v>96280</v>
      </c>
    </row>
    <row r="431" spans="1:8" x14ac:dyDescent="0.2">
      <c r="A431" s="37"/>
      <c r="B431" s="57"/>
      <c r="C431" s="57"/>
      <c r="D431" s="38"/>
      <c r="E431" s="28" t="s">
        <v>240</v>
      </c>
      <c r="F431" s="62">
        <v>0</v>
      </c>
      <c r="G431" s="62"/>
      <c r="H431" s="166">
        <f t="shared" si="22"/>
        <v>0</v>
      </c>
    </row>
    <row r="432" spans="1:8" ht="37.5" x14ac:dyDescent="0.2">
      <c r="A432" s="37"/>
      <c r="B432" s="57"/>
      <c r="C432" s="57"/>
      <c r="D432" s="38"/>
      <c r="E432" s="7" t="s">
        <v>388</v>
      </c>
      <c r="F432" s="62">
        <v>350000</v>
      </c>
      <c r="G432" s="62"/>
      <c r="H432" s="166">
        <f t="shared" si="22"/>
        <v>350000</v>
      </c>
    </row>
    <row r="433" spans="1:8" x14ac:dyDescent="0.2">
      <c r="A433" s="37"/>
      <c r="B433" s="57"/>
      <c r="C433" s="57"/>
      <c r="D433" s="38"/>
      <c r="E433" s="28" t="s">
        <v>239</v>
      </c>
      <c r="F433" s="62"/>
      <c r="G433" s="62"/>
      <c r="H433" s="166"/>
    </row>
    <row r="434" spans="1:8" ht="37.5" x14ac:dyDescent="0.2">
      <c r="A434" s="37"/>
      <c r="B434" s="57"/>
      <c r="C434" s="57"/>
      <c r="D434" s="38"/>
      <c r="E434" s="7" t="s">
        <v>313</v>
      </c>
      <c r="F434" s="62">
        <v>492334</v>
      </c>
      <c r="G434" s="62">
        <f>-100000</f>
        <v>-100000</v>
      </c>
      <c r="H434" s="166">
        <f>F434+G434</f>
        <v>392334</v>
      </c>
    </row>
    <row r="435" spans="1:8" x14ac:dyDescent="0.2">
      <c r="A435" s="37" t="s">
        <v>77</v>
      </c>
      <c r="B435" s="37" t="s">
        <v>98</v>
      </c>
      <c r="C435" s="37" t="s">
        <v>26</v>
      </c>
      <c r="D435" s="38" t="s">
        <v>89</v>
      </c>
      <c r="E435" s="36"/>
      <c r="F435" s="40">
        <f>SUM(F436:F461)</f>
        <v>12805255</v>
      </c>
      <c r="G435" s="40">
        <f>SUM(G436:G461)</f>
        <v>107400</v>
      </c>
      <c r="H435" s="168">
        <f t="shared" si="20"/>
        <v>12912655</v>
      </c>
    </row>
    <row r="436" spans="1:8" x14ac:dyDescent="0.2">
      <c r="A436" s="37"/>
      <c r="B436" s="37"/>
      <c r="C436" s="37"/>
      <c r="D436" s="38"/>
      <c r="E436" s="29" t="s">
        <v>242</v>
      </c>
      <c r="F436" s="40"/>
      <c r="G436" s="40"/>
      <c r="H436" s="168"/>
    </row>
    <row r="437" spans="1:8" ht="37.5" x14ac:dyDescent="0.2">
      <c r="A437" s="37"/>
      <c r="B437" s="57"/>
      <c r="C437" s="57"/>
      <c r="D437" s="38"/>
      <c r="E437" s="7" t="s">
        <v>204</v>
      </c>
      <c r="F437" s="62">
        <v>100000</v>
      </c>
      <c r="G437" s="62"/>
      <c r="H437" s="166">
        <f t="shared" ref="H437:H444" si="23">F437+G437</f>
        <v>100000</v>
      </c>
    </row>
    <row r="438" spans="1:8" ht="37.5" x14ac:dyDescent="0.2">
      <c r="A438" s="37"/>
      <c r="B438" s="57"/>
      <c r="C438" s="57"/>
      <c r="D438" s="38"/>
      <c r="E438" s="7" t="s">
        <v>90</v>
      </c>
      <c r="F438" s="62">
        <v>2000000</v>
      </c>
      <c r="G438" s="62"/>
      <c r="H438" s="166">
        <f t="shared" si="23"/>
        <v>2000000</v>
      </c>
    </row>
    <row r="439" spans="1:8" x14ac:dyDescent="0.2">
      <c r="A439" s="37"/>
      <c r="B439" s="57"/>
      <c r="C439" s="57"/>
      <c r="D439" s="38"/>
      <c r="E439" s="7" t="s">
        <v>235</v>
      </c>
      <c r="F439" s="62">
        <v>1110000</v>
      </c>
      <c r="G439" s="62"/>
      <c r="H439" s="166">
        <f t="shared" si="23"/>
        <v>1110000</v>
      </c>
    </row>
    <row r="440" spans="1:8" x14ac:dyDescent="0.2">
      <c r="A440" s="37"/>
      <c r="B440" s="57"/>
      <c r="C440" s="57"/>
      <c r="D440" s="38"/>
      <c r="E440" s="7" t="s">
        <v>236</v>
      </c>
      <c r="F440" s="62">
        <v>1150000</v>
      </c>
      <c r="G440" s="62">
        <f>-37600</f>
        <v>-37600</v>
      </c>
      <c r="H440" s="166">
        <f t="shared" si="23"/>
        <v>1112400</v>
      </c>
    </row>
    <row r="441" spans="1:8" ht="56.25" x14ac:dyDescent="0.2">
      <c r="A441" s="37"/>
      <c r="B441" s="57"/>
      <c r="C441" s="57"/>
      <c r="D441" s="38"/>
      <c r="E441" s="7" t="s">
        <v>234</v>
      </c>
      <c r="F441" s="62">
        <v>200000</v>
      </c>
      <c r="G441" s="62"/>
      <c r="H441" s="166">
        <f t="shared" si="23"/>
        <v>200000</v>
      </c>
    </row>
    <row r="442" spans="1:8" x14ac:dyDescent="0.2">
      <c r="A442" s="37"/>
      <c r="B442" s="57"/>
      <c r="C442" s="57"/>
      <c r="D442" s="38"/>
      <c r="E442" s="7" t="s">
        <v>317</v>
      </c>
      <c r="F442" s="62">
        <v>9233</v>
      </c>
      <c r="G442" s="62"/>
      <c r="H442" s="166">
        <f t="shared" si="23"/>
        <v>9233</v>
      </c>
    </row>
    <row r="443" spans="1:8" ht="37.5" x14ac:dyDescent="0.2">
      <c r="A443" s="37"/>
      <c r="B443" s="57"/>
      <c r="C443" s="57"/>
      <c r="D443" s="38"/>
      <c r="E443" s="7" t="s">
        <v>315</v>
      </c>
      <c r="F443" s="62">
        <v>259454</v>
      </c>
      <c r="G443" s="62"/>
      <c r="H443" s="166">
        <f t="shared" si="23"/>
        <v>259454</v>
      </c>
    </row>
    <row r="444" spans="1:8" ht="37.5" x14ac:dyDescent="0.2">
      <c r="A444" s="37"/>
      <c r="B444" s="57"/>
      <c r="C444" s="57"/>
      <c r="D444" s="38"/>
      <c r="E444" s="7" t="s">
        <v>314</v>
      </c>
      <c r="F444" s="62">
        <v>71576</v>
      </c>
      <c r="G444" s="62"/>
      <c r="H444" s="166">
        <f t="shared" si="23"/>
        <v>71576</v>
      </c>
    </row>
    <row r="445" spans="1:8" x14ac:dyDescent="0.2">
      <c r="A445" s="37"/>
      <c r="B445" s="37"/>
      <c r="C445" s="37"/>
      <c r="D445" s="38"/>
      <c r="E445" s="29" t="s">
        <v>245</v>
      </c>
      <c r="F445" s="40"/>
      <c r="G445" s="40"/>
      <c r="H445" s="168"/>
    </row>
    <row r="446" spans="1:8" x14ac:dyDescent="0.2">
      <c r="A446" s="37"/>
      <c r="B446" s="57"/>
      <c r="C446" s="57"/>
      <c r="D446" s="38"/>
      <c r="E446" s="7" t="s">
        <v>225</v>
      </c>
      <c r="F446" s="62">
        <v>119000</v>
      </c>
      <c r="G446" s="62"/>
      <c r="H446" s="166">
        <f t="shared" ref="H446:H457" si="24">F446+G446</f>
        <v>119000</v>
      </c>
    </row>
    <row r="447" spans="1:8" ht="56.25" x14ac:dyDescent="0.2">
      <c r="A447" s="37"/>
      <c r="B447" s="57"/>
      <c r="C447" s="57"/>
      <c r="D447" s="38"/>
      <c r="E447" s="7" t="s">
        <v>393</v>
      </c>
      <c r="F447" s="62">
        <v>524000</v>
      </c>
      <c r="G447" s="62"/>
      <c r="H447" s="166">
        <f t="shared" si="24"/>
        <v>524000</v>
      </c>
    </row>
    <row r="448" spans="1:8" ht="37.5" x14ac:dyDescent="0.2">
      <c r="A448" s="37"/>
      <c r="B448" s="57"/>
      <c r="C448" s="57"/>
      <c r="D448" s="38"/>
      <c r="E448" s="7" t="s">
        <v>394</v>
      </c>
      <c r="F448" s="62">
        <v>239000</v>
      </c>
      <c r="G448" s="62"/>
      <c r="H448" s="166">
        <f t="shared" si="24"/>
        <v>239000</v>
      </c>
    </row>
    <row r="449" spans="1:8" ht="37.5" x14ac:dyDescent="0.2">
      <c r="A449" s="37"/>
      <c r="B449" s="57"/>
      <c r="C449" s="57"/>
      <c r="D449" s="38"/>
      <c r="E449" s="7" t="s">
        <v>395</v>
      </c>
      <c r="F449" s="62">
        <v>1340000</v>
      </c>
      <c r="G449" s="62"/>
      <c r="H449" s="166">
        <f t="shared" si="24"/>
        <v>1340000</v>
      </c>
    </row>
    <row r="450" spans="1:8" ht="37.5" x14ac:dyDescent="0.2">
      <c r="A450" s="37"/>
      <c r="B450" s="57"/>
      <c r="C450" s="57"/>
      <c r="D450" s="38"/>
      <c r="E450" s="7" t="s">
        <v>492</v>
      </c>
      <c r="F450" s="62">
        <v>5000</v>
      </c>
      <c r="G450" s="62"/>
      <c r="H450" s="166">
        <f t="shared" si="24"/>
        <v>5000</v>
      </c>
    </row>
    <row r="451" spans="1:8" ht="37.5" x14ac:dyDescent="0.2">
      <c r="A451" s="37"/>
      <c r="B451" s="57"/>
      <c r="C451" s="57"/>
      <c r="D451" s="38"/>
      <c r="E451" s="7" t="s">
        <v>493</v>
      </c>
      <c r="F451" s="62">
        <v>5000</v>
      </c>
      <c r="G451" s="62"/>
      <c r="H451" s="166">
        <f t="shared" si="24"/>
        <v>5000</v>
      </c>
    </row>
    <row r="452" spans="1:8" ht="37.5" x14ac:dyDescent="0.2">
      <c r="A452" s="37"/>
      <c r="B452" s="57"/>
      <c r="C452" s="57"/>
      <c r="D452" s="38"/>
      <c r="E452" s="7" t="s">
        <v>396</v>
      </c>
      <c r="F452" s="62">
        <v>300000</v>
      </c>
      <c r="G452" s="62"/>
      <c r="H452" s="166">
        <f t="shared" si="24"/>
        <v>300000</v>
      </c>
    </row>
    <row r="453" spans="1:8" ht="37.5" x14ac:dyDescent="0.2">
      <c r="A453" s="37"/>
      <c r="B453" s="57"/>
      <c r="C453" s="57"/>
      <c r="D453" s="38"/>
      <c r="E453" s="7" t="s">
        <v>397</v>
      </c>
      <c r="F453" s="62">
        <v>125000</v>
      </c>
      <c r="G453" s="62"/>
      <c r="H453" s="166">
        <f t="shared" si="24"/>
        <v>125000</v>
      </c>
    </row>
    <row r="454" spans="1:8" ht="56.25" x14ac:dyDescent="0.2">
      <c r="A454" s="37"/>
      <c r="B454" s="57"/>
      <c r="C454" s="57"/>
      <c r="D454" s="38"/>
      <c r="E454" s="7" t="s">
        <v>319</v>
      </c>
      <c r="F454" s="62">
        <v>337940</v>
      </c>
      <c r="G454" s="62"/>
      <c r="H454" s="166">
        <f t="shared" si="24"/>
        <v>337940</v>
      </c>
    </row>
    <row r="455" spans="1:8" ht="37.5" x14ac:dyDescent="0.2">
      <c r="A455" s="37"/>
      <c r="B455" s="57"/>
      <c r="C455" s="57"/>
      <c r="D455" s="38"/>
      <c r="E455" s="7" t="s">
        <v>494</v>
      </c>
      <c r="F455" s="62">
        <v>300000</v>
      </c>
      <c r="G455" s="62"/>
      <c r="H455" s="166">
        <f t="shared" si="24"/>
        <v>300000</v>
      </c>
    </row>
    <row r="456" spans="1:8" ht="37.5" x14ac:dyDescent="0.2">
      <c r="A456" s="37"/>
      <c r="B456" s="57"/>
      <c r="C456" s="57"/>
      <c r="D456" s="38"/>
      <c r="E456" s="7" t="s">
        <v>318</v>
      </c>
      <c r="F456" s="62">
        <v>558926</v>
      </c>
      <c r="G456" s="62"/>
      <c r="H456" s="166">
        <f t="shared" si="24"/>
        <v>558926</v>
      </c>
    </row>
    <row r="457" spans="1:8" ht="37.5" x14ac:dyDescent="0.2">
      <c r="A457" s="37"/>
      <c r="B457" s="57"/>
      <c r="C457" s="57"/>
      <c r="D457" s="38"/>
      <c r="E457" s="7" t="s">
        <v>316</v>
      </c>
      <c r="F457" s="62">
        <v>1408200</v>
      </c>
      <c r="G457" s="62"/>
      <c r="H457" s="166">
        <f t="shared" si="24"/>
        <v>1408200</v>
      </c>
    </row>
    <row r="458" spans="1:8" x14ac:dyDescent="0.2">
      <c r="A458" s="37"/>
      <c r="B458" s="57"/>
      <c r="C458" s="57"/>
      <c r="D458" s="38"/>
      <c r="E458" s="28" t="s">
        <v>241</v>
      </c>
      <c r="F458" s="62"/>
      <c r="G458" s="62"/>
      <c r="H458" s="166"/>
    </row>
    <row r="459" spans="1:8" x14ac:dyDescent="0.2">
      <c r="A459" s="37"/>
      <c r="B459" s="57"/>
      <c r="C459" s="57"/>
      <c r="D459" s="38"/>
      <c r="E459" s="7" t="s">
        <v>91</v>
      </c>
      <c r="F459" s="62">
        <v>2519614</v>
      </c>
      <c r="G459" s="62"/>
      <c r="H459" s="166">
        <f>F459+G459</f>
        <v>2519614</v>
      </c>
    </row>
    <row r="460" spans="1:8" ht="56.25" x14ac:dyDescent="0.2">
      <c r="A460" s="37"/>
      <c r="B460" s="57"/>
      <c r="C460" s="57"/>
      <c r="D460" s="38"/>
      <c r="E460" s="7" t="s">
        <v>521</v>
      </c>
      <c r="F460" s="62"/>
      <c r="G460" s="62">
        <f>145000</f>
        <v>145000</v>
      </c>
      <c r="H460" s="166">
        <f>F460+G460</f>
        <v>145000</v>
      </c>
    </row>
    <row r="461" spans="1:8" ht="37.5" x14ac:dyDescent="0.2">
      <c r="A461" s="37"/>
      <c r="B461" s="57"/>
      <c r="C461" s="57"/>
      <c r="D461" s="38"/>
      <c r="E461" s="7" t="s">
        <v>300</v>
      </c>
      <c r="F461" s="62">
        <v>123312</v>
      </c>
      <c r="G461" s="62"/>
      <c r="H461" s="166">
        <f>F461+G461</f>
        <v>123312</v>
      </c>
    </row>
    <row r="462" spans="1:8" x14ac:dyDescent="0.2">
      <c r="A462" s="37" t="s">
        <v>198</v>
      </c>
      <c r="B462" s="37" t="s">
        <v>199</v>
      </c>
      <c r="C462" s="37" t="s">
        <v>26</v>
      </c>
      <c r="D462" s="38" t="s">
        <v>200</v>
      </c>
      <c r="E462" s="36"/>
      <c r="F462" s="40">
        <f>SUM(F463:F469)</f>
        <v>3945809</v>
      </c>
      <c r="G462" s="40">
        <f>SUM(G463:G469)</f>
        <v>0</v>
      </c>
      <c r="H462" s="168">
        <f t="shared" si="20"/>
        <v>3945809</v>
      </c>
    </row>
    <row r="463" spans="1:8" ht="56.25" x14ac:dyDescent="0.2">
      <c r="A463" s="37"/>
      <c r="B463" s="57"/>
      <c r="C463" s="57"/>
      <c r="D463" s="38"/>
      <c r="E463" s="7" t="s">
        <v>320</v>
      </c>
      <c r="F463" s="62">
        <v>695188</v>
      </c>
      <c r="G463" s="62"/>
      <c r="H463" s="172">
        <f t="shared" ref="H463:H523" si="25">F463+G463</f>
        <v>695188</v>
      </c>
    </row>
    <row r="464" spans="1:8" x14ac:dyDescent="0.2">
      <c r="A464" s="50"/>
      <c r="B464" s="57"/>
      <c r="C464" s="57"/>
      <c r="D464" s="51"/>
      <c r="E464" s="85" t="s">
        <v>321</v>
      </c>
      <c r="F464" s="60">
        <v>1400000</v>
      </c>
      <c r="G464" s="60"/>
      <c r="H464" s="172">
        <f t="shared" si="25"/>
        <v>1400000</v>
      </c>
    </row>
    <row r="465" spans="1:8" ht="37.5" x14ac:dyDescent="0.2">
      <c r="A465" s="50"/>
      <c r="B465" s="57"/>
      <c r="C465" s="57"/>
      <c r="D465" s="51"/>
      <c r="E465" s="85" t="s">
        <v>400</v>
      </c>
      <c r="F465" s="60">
        <v>150000</v>
      </c>
      <c r="G465" s="60"/>
      <c r="H465" s="172">
        <f t="shared" si="25"/>
        <v>150000</v>
      </c>
    </row>
    <row r="466" spans="1:8" ht="56.25" x14ac:dyDescent="0.2">
      <c r="A466" s="50"/>
      <c r="B466" s="57"/>
      <c r="C466" s="57"/>
      <c r="D466" s="51"/>
      <c r="E466" s="85" t="s">
        <v>423</v>
      </c>
      <c r="F466" s="60">
        <v>316567</v>
      </c>
      <c r="G466" s="60"/>
      <c r="H466" s="172">
        <f t="shared" si="25"/>
        <v>316567</v>
      </c>
    </row>
    <row r="467" spans="1:8" ht="56.25" x14ac:dyDescent="0.2">
      <c r="A467" s="50"/>
      <c r="B467" s="57"/>
      <c r="C467" s="57"/>
      <c r="D467" s="51"/>
      <c r="E467" s="85" t="s">
        <v>322</v>
      </c>
      <c r="F467" s="60">
        <v>2700</v>
      </c>
      <c r="G467" s="60"/>
      <c r="H467" s="172">
        <f t="shared" si="25"/>
        <v>2700</v>
      </c>
    </row>
    <row r="468" spans="1:8" ht="93.75" x14ac:dyDescent="0.2">
      <c r="A468" s="50"/>
      <c r="B468" s="57"/>
      <c r="C468" s="57"/>
      <c r="D468" s="51"/>
      <c r="E468" s="7" t="s">
        <v>418</v>
      </c>
      <c r="F468" s="60">
        <v>300000</v>
      </c>
      <c r="G468" s="60"/>
      <c r="H468" s="172">
        <f t="shared" si="25"/>
        <v>300000</v>
      </c>
    </row>
    <row r="469" spans="1:8" ht="56.25" x14ac:dyDescent="0.2">
      <c r="A469" s="37"/>
      <c r="B469" s="57"/>
      <c r="C469" s="57"/>
      <c r="D469" s="38"/>
      <c r="E469" s="7" t="s">
        <v>197</v>
      </c>
      <c r="F469" s="60">
        <v>1081354</v>
      </c>
      <c r="G469" s="60"/>
      <c r="H469" s="172">
        <f t="shared" si="25"/>
        <v>1081354</v>
      </c>
    </row>
    <row r="470" spans="1:8" x14ac:dyDescent="0.2">
      <c r="A470" s="37" t="s">
        <v>78</v>
      </c>
      <c r="B470" s="37" t="s">
        <v>99</v>
      </c>
      <c r="C470" s="37" t="s">
        <v>26</v>
      </c>
      <c r="D470" s="38" t="s">
        <v>92</v>
      </c>
      <c r="E470" s="28"/>
      <c r="F470" s="40">
        <f>SUM(F471:F475)</f>
        <v>9453003</v>
      </c>
      <c r="G470" s="40">
        <f>SUM(G471:G475)</f>
        <v>-4400000</v>
      </c>
      <c r="H470" s="168">
        <f t="shared" si="25"/>
        <v>5053003</v>
      </c>
    </row>
    <row r="471" spans="1:8" ht="37.5" x14ac:dyDescent="0.2">
      <c r="A471" s="37"/>
      <c r="B471" s="57"/>
      <c r="C471" s="57"/>
      <c r="D471" s="38"/>
      <c r="E471" s="66" t="s">
        <v>323</v>
      </c>
      <c r="F471" s="62">
        <v>3525178</v>
      </c>
      <c r="G471" s="62">
        <f>-3200000</f>
        <v>-3200000</v>
      </c>
      <c r="H471" s="166">
        <f t="shared" si="25"/>
        <v>325178</v>
      </c>
    </row>
    <row r="472" spans="1:8" ht="37.5" x14ac:dyDescent="0.2">
      <c r="A472" s="37"/>
      <c r="B472" s="57"/>
      <c r="C472" s="57"/>
      <c r="D472" s="38"/>
      <c r="E472" s="66" t="s">
        <v>228</v>
      </c>
      <c r="F472" s="62">
        <v>200000</v>
      </c>
      <c r="G472" s="62"/>
      <c r="H472" s="166">
        <f t="shared" si="25"/>
        <v>200000</v>
      </c>
    </row>
    <row r="473" spans="1:8" x14ac:dyDescent="0.2">
      <c r="A473" s="37"/>
      <c r="B473" s="57"/>
      <c r="C473" s="57"/>
      <c r="D473" s="38"/>
      <c r="E473" s="28" t="s">
        <v>241</v>
      </c>
      <c r="F473" s="62"/>
      <c r="G473" s="62"/>
      <c r="H473" s="166"/>
    </row>
    <row r="474" spans="1:8" ht="37.5" x14ac:dyDescent="0.2">
      <c r="A474" s="37"/>
      <c r="B474" s="57"/>
      <c r="C474" s="57"/>
      <c r="D474" s="38"/>
      <c r="E474" s="66" t="s">
        <v>226</v>
      </c>
      <c r="F474" s="62">
        <v>1500000</v>
      </c>
      <c r="G474" s="62">
        <f>-1200000</f>
        <v>-1200000</v>
      </c>
      <c r="H474" s="166">
        <f t="shared" si="25"/>
        <v>300000</v>
      </c>
    </row>
    <row r="475" spans="1:8" ht="37.5" x14ac:dyDescent="0.2">
      <c r="A475" s="37"/>
      <c r="B475" s="57"/>
      <c r="C475" s="57"/>
      <c r="D475" s="38"/>
      <c r="E475" s="66" t="s">
        <v>398</v>
      </c>
      <c r="F475" s="62">
        <v>4227825</v>
      </c>
      <c r="G475" s="62"/>
      <c r="H475" s="166">
        <f t="shared" si="25"/>
        <v>4227825</v>
      </c>
    </row>
    <row r="476" spans="1:8" ht="37.5" x14ac:dyDescent="0.2">
      <c r="A476" s="37" t="s">
        <v>79</v>
      </c>
      <c r="B476" s="37" t="s">
        <v>100</v>
      </c>
      <c r="C476" s="37" t="s">
        <v>26</v>
      </c>
      <c r="D476" s="38" t="s">
        <v>93</v>
      </c>
      <c r="E476" s="63"/>
      <c r="F476" s="67">
        <f>SUM(F477:F478)</f>
        <v>775000</v>
      </c>
      <c r="G476" s="67">
        <f>SUM(G477:G478)</f>
        <v>-400000</v>
      </c>
      <c r="H476" s="174">
        <f t="shared" si="25"/>
        <v>375000</v>
      </c>
    </row>
    <row r="477" spans="1:8" x14ac:dyDescent="0.2">
      <c r="A477" s="37"/>
      <c r="B477" s="57"/>
      <c r="C477" s="57"/>
      <c r="D477" s="38"/>
      <c r="E477" s="7" t="s">
        <v>94</v>
      </c>
      <c r="F477" s="62">
        <v>465000</v>
      </c>
      <c r="G477" s="62">
        <f>-400000</f>
        <v>-400000</v>
      </c>
      <c r="H477" s="166">
        <f t="shared" si="25"/>
        <v>65000</v>
      </c>
    </row>
    <row r="478" spans="1:8" ht="37.5" x14ac:dyDescent="0.2">
      <c r="A478" s="37"/>
      <c r="B478" s="57"/>
      <c r="C478" s="57"/>
      <c r="D478" s="38"/>
      <c r="E478" s="7" t="s">
        <v>399</v>
      </c>
      <c r="F478" s="62">
        <v>310000</v>
      </c>
      <c r="G478" s="62"/>
      <c r="H478" s="166">
        <f t="shared" si="25"/>
        <v>310000</v>
      </c>
    </row>
    <row r="479" spans="1:8" ht="37.5" x14ac:dyDescent="0.2">
      <c r="A479" s="37" t="s">
        <v>80</v>
      </c>
      <c r="B479" s="37" t="s">
        <v>55</v>
      </c>
      <c r="C479" s="37" t="s">
        <v>26</v>
      </c>
      <c r="D479" s="38" t="s">
        <v>95</v>
      </c>
      <c r="E479" s="28"/>
      <c r="F479" s="52">
        <f>SUM(F480:F481)</f>
        <v>13578319</v>
      </c>
      <c r="G479" s="52">
        <f>SUM(G480:G481)</f>
        <v>-5000000</v>
      </c>
      <c r="H479" s="169">
        <f t="shared" si="25"/>
        <v>8578319</v>
      </c>
    </row>
    <row r="480" spans="1:8" ht="75" x14ac:dyDescent="0.2">
      <c r="A480" s="37"/>
      <c r="B480" s="57"/>
      <c r="C480" s="57"/>
      <c r="D480" s="38"/>
      <c r="E480" s="7" t="s">
        <v>324</v>
      </c>
      <c r="F480" s="62">
        <v>450000</v>
      </c>
      <c r="G480" s="62"/>
      <c r="H480" s="166">
        <f t="shared" si="25"/>
        <v>450000</v>
      </c>
    </row>
    <row r="481" spans="1:19" ht="37.5" x14ac:dyDescent="0.2">
      <c r="A481" s="37"/>
      <c r="B481" s="57"/>
      <c r="C481" s="57"/>
      <c r="D481" s="38"/>
      <c r="E481" s="119" t="s">
        <v>212</v>
      </c>
      <c r="F481" s="62">
        <v>13128319</v>
      </c>
      <c r="G481" s="62">
        <f>-5000000</f>
        <v>-5000000</v>
      </c>
      <c r="H481" s="166">
        <f t="shared" si="25"/>
        <v>8128319</v>
      </c>
    </row>
    <row r="482" spans="1:19" ht="37.5" x14ac:dyDescent="0.2">
      <c r="A482" s="37" t="s">
        <v>81</v>
      </c>
      <c r="B482" s="37" t="s">
        <v>57</v>
      </c>
      <c r="C482" s="37" t="s">
        <v>26</v>
      </c>
      <c r="D482" s="38" t="s">
        <v>58</v>
      </c>
      <c r="E482" s="68"/>
      <c r="F482" s="52">
        <f>SUM(F483:F485)</f>
        <v>4977001</v>
      </c>
      <c r="G482" s="52">
        <f>SUM(G483:G485)</f>
        <v>-1600000</v>
      </c>
      <c r="H482" s="169">
        <f t="shared" si="25"/>
        <v>3377001</v>
      </c>
    </row>
    <row r="483" spans="1:19" ht="75" x14ac:dyDescent="0.2">
      <c r="A483" s="37"/>
      <c r="B483" s="57"/>
      <c r="C483" s="57"/>
      <c r="D483" s="38"/>
      <c r="E483" s="7" t="s">
        <v>412</v>
      </c>
      <c r="F483" s="62">
        <v>2000000</v>
      </c>
      <c r="G483" s="62"/>
      <c r="H483" s="166">
        <f t="shared" si="25"/>
        <v>2000000</v>
      </c>
    </row>
    <row r="484" spans="1:19" ht="56.25" x14ac:dyDescent="0.2">
      <c r="A484" s="37"/>
      <c r="B484" s="57"/>
      <c r="C484" s="57"/>
      <c r="D484" s="38"/>
      <c r="E484" s="7" t="s">
        <v>366</v>
      </c>
      <c r="F484" s="62">
        <v>322000</v>
      </c>
      <c r="G484" s="62"/>
      <c r="H484" s="166">
        <f t="shared" si="25"/>
        <v>322000</v>
      </c>
    </row>
    <row r="485" spans="1:19" ht="37.5" x14ac:dyDescent="0.2">
      <c r="A485" s="37"/>
      <c r="B485" s="57"/>
      <c r="C485" s="57"/>
      <c r="D485" s="38"/>
      <c r="E485" s="7" t="s">
        <v>325</v>
      </c>
      <c r="F485" s="62">
        <v>2655001</v>
      </c>
      <c r="G485" s="62">
        <f>-1500000-100000</f>
        <v>-1600000</v>
      </c>
      <c r="H485" s="166">
        <f t="shared" si="25"/>
        <v>1055001</v>
      </c>
    </row>
    <row r="486" spans="1:19" ht="37.5" x14ac:dyDescent="0.2">
      <c r="A486" s="37" t="s">
        <v>101</v>
      </c>
      <c r="B486" s="37" t="s">
        <v>102</v>
      </c>
      <c r="C486" s="37" t="s">
        <v>9</v>
      </c>
      <c r="D486" s="38" t="s">
        <v>103</v>
      </c>
      <c r="E486" s="36"/>
      <c r="F486" s="52">
        <f>SUM(F487:F489)</f>
        <v>4963999</v>
      </c>
      <c r="G486" s="52">
        <f>SUM(G487:G489)</f>
        <v>728000</v>
      </c>
      <c r="H486" s="169">
        <f t="shared" si="25"/>
        <v>5691999</v>
      </c>
    </row>
    <row r="487" spans="1:19" x14ac:dyDescent="0.2">
      <c r="A487" s="37"/>
      <c r="B487" s="37"/>
      <c r="C487" s="70"/>
      <c r="D487" s="70"/>
      <c r="E487" s="34" t="s">
        <v>104</v>
      </c>
      <c r="F487" s="62">
        <v>4720000</v>
      </c>
      <c r="G487" s="62">
        <f>680000</f>
        <v>680000</v>
      </c>
      <c r="H487" s="166">
        <f t="shared" si="25"/>
        <v>5400000</v>
      </c>
    </row>
    <row r="488" spans="1:19" ht="37.5" x14ac:dyDescent="0.2">
      <c r="A488" s="57"/>
      <c r="B488" s="57"/>
      <c r="C488" s="57"/>
      <c r="D488" s="57"/>
      <c r="E488" s="77" t="s">
        <v>269</v>
      </c>
      <c r="F488" s="62">
        <v>199999</v>
      </c>
      <c r="G488" s="62"/>
      <c r="H488" s="166">
        <f t="shared" si="25"/>
        <v>199999</v>
      </c>
    </row>
    <row r="489" spans="1:19" x14ac:dyDescent="0.2">
      <c r="A489" s="33"/>
      <c r="B489" s="33"/>
      <c r="C489" s="33"/>
      <c r="D489" s="35"/>
      <c r="E489" s="77" t="s">
        <v>355</v>
      </c>
      <c r="F489" s="62">
        <v>44000</v>
      </c>
      <c r="G489" s="62">
        <f>48000</f>
        <v>48000</v>
      </c>
      <c r="H489" s="166">
        <f t="shared" si="25"/>
        <v>92000</v>
      </c>
    </row>
    <row r="490" spans="1:19" s="49" customFormat="1" ht="37.5" x14ac:dyDescent="0.2">
      <c r="A490" s="33" t="s">
        <v>1</v>
      </c>
      <c r="B490" s="33"/>
      <c r="C490" s="33"/>
      <c r="D490" s="33" t="s">
        <v>2</v>
      </c>
      <c r="E490" s="35"/>
      <c r="F490" s="47">
        <f>F505+F503+F496+F492+F498+F501</f>
        <v>7261412</v>
      </c>
      <c r="G490" s="47">
        <f>G505+G503+G496+G492+G498+G501</f>
        <v>191400</v>
      </c>
      <c r="H490" s="165">
        <f t="shared" si="25"/>
        <v>7452812</v>
      </c>
      <c r="I490" s="48"/>
      <c r="J490" s="48"/>
      <c r="K490" s="48"/>
      <c r="L490" s="48"/>
      <c r="M490" s="48"/>
      <c r="N490" s="48"/>
      <c r="O490" s="48"/>
      <c r="P490" s="48"/>
      <c r="Q490" s="48"/>
      <c r="R490" s="48"/>
      <c r="S490" s="48"/>
    </row>
    <row r="491" spans="1:19" s="49" customFormat="1" ht="37.5" x14ac:dyDescent="0.2">
      <c r="A491" s="33" t="s">
        <v>3</v>
      </c>
      <c r="B491" s="33"/>
      <c r="C491" s="33"/>
      <c r="D491" s="54" t="s">
        <v>2</v>
      </c>
      <c r="E491" s="35"/>
      <c r="F491" s="47"/>
      <c r="G491" s="47"/>
      <c r="H491" s="165">
        <f t="shared" si="25"/>
        <v>0</v>
      </c>
      <c r="I491" s="48"/>
      <c r="J491" s="48"/>
      <c r="K491" s="48"/>
      <c r="L491" s="48"/>
      <c r="M491" s="48"/>
      <c r="N491" s="48"/>
      <c r="O491" s="48"/>
      <c r="P491" s="48"/>
      <c r="Q491" s="48"/>
      <c r="R491" s="48"/>
      <c r="S491" s="48"/>
    </row>
    <row r="492" spans="1:19" s="81" customFormat="1" ht="56.25" x14ac:dyDescent="0.2">
      <c r="A492" s="37" t="s">
        <v>54</v>
      </c>
      <c r="B492" s="50" t="s">
        <v>4</v>
      </c>
      <c r="C492" s="50" t="s">
        <v>5</v>
      </c>
      <c r="D492" s="51" t="s">
        <v>6</v>
      </c>
      <c r="E492" s="77"/>
      <c r="F492" s="52">
        <f>SUM(F493:F495)</f>
        <v>427649</v>
      </c>
      <c r="G492" s="52">
        <f>SUM(G493:G495)</f>
        <v>0</v>
      </c>
      <c r="H492" s="169">
        <f t="shared" si="25"/>
        <v>427649</v>
      </c>
      <c r="I492" s="120"/>
      <c r="J492" s="80"/>
      <c r="K492" s="80"/>
      <c r="L492" s="80"/>
      <c r="M492" s="80"/>
      <c r="N492" s="80"/>
      <c r="O492" s="80"/>
      <c r="P492" s="80"/>
      <c r="Q492" s="80"/>
      <c r="R492" s="80"/>
      <c r="S492" s="80"/>
    </row>
    <row r="493" spans="1:19" ht="37.5" x14ac:dyDescent="0.2">
      <c r="A493" s="57"/>
      <c r="B493" s="57"/>
      <c r="C493" s="57"/>
      <c r="D493" s="57"/>
      <c r="E493" s="8" t="s">
        <v>356</v>
      </c>
      <c r="F493" s="62">
        <v>77930</v>
      </c>
      <c r="G493" s="62"/>
      <c r="H493" s="166">
        <f t="shared" si="25"/>
        <v>77930</v>
      </c>
    </row>
    <row r="494" spans="1:19" ht="37.5" x14ac:dyDescent="0.2">
      <c r="A494" s="57"/>
      <c r="B494" s="57"/>
      <c r="C494" s="57"/>
      <c r="D494" s="57"/>
      <c r="E494" s="8" t="s">
        <v>428</v>
      </c>
      <c r="F494" s="62">
        <v>213348</v>
      </c>
      <c r="G494" s="62"/>
      <c r="H494" s="166">
        <f t="shared" si="25"/>
        <v>213348</v>
      </c>
    </row>
    <row r="495" spans="1:19" ht="56.25" x14ac:dyDescent="0.2">
      <c r="A495" s="57"/>
      <c r="B495" s="57"/>
      <c r="C495" s="57"/>
      <c r="D495" s="57"/>
      <c r="E495" s="8" t="s">
        <v>221</v>
      </c>
      <c r="F495" s="62">
        <v>136371</v>
      </c>
      <c r="G495" s="62"/>
      <c r="H495" s="166">
        <f t="shared" si="25"/>
        <v>136371</v>
      </c>
    </row>
    <row r="496" spans="1:19" x14ac:dyDescent="0.2">
      <c r="A496" s="37" t="s">
        <v>419</v>
      </c>
      <c r="B496" s="50" t="s">
        <v>35</v>
      </c>
      <c r="C496" s="50" t="s">
        <v>36</v>
      </c>
      <c r="D496" s="51" t="s">
        <v>37</v>
      </c>
      <c r="E496" s="77"/>
      <c r="F496" s="52">
        <f>SUM(F497)</f>
        <v>750639</v>
      </c>
      <c r="G496" s="52">
        <f>SUM(G497)</f>
        <v>0</v>
      </c>
      <c r="H496" s="169">
        <f t="shared" si="25"/>
        <v>750639</v>
      </c>
    </row>
    <row r="497" spans="1:19" ht="37.5" x14ac:dyDescent="0.2">
      <c r="A497" s="57"/>
      <c r="B497" s="57"/>
      <c r="C497" s="57"/>
      <c r="D497" s="57"/>
      <c r="E497" s="8" t="s">
        <v>420</v>
      </c>
      <c r="F497" s="62">
        <f>750639</f>
        <v>750639</v>
      </c>
      <c r="G497" s="62"/>
      <c r="H497" s="166">
        <f t="shared" si="25"/>
        <v>750639</v>
      </c>
    </row>
    <row r="498" spans="1:19" ht="37.5" x14ac:dyDescent="0.2">
      <c r="A498" s="37" t="s">
        <v>448</v>
      </c>
      <c r="B498" s="37" t="s">
        <v>25</v>
      </c>
      <c r="C498" s="37" t="s">
        <v>26</v>
      </c>
      <c r="D498" s="38" t="s">
        <v>22</v>
      </c>
      <c r="E498" s="8"/>
      <c r="F498" s="62">
        <f>SUM(F499:F500)</f>
        <v>216500</v>
      </c>
      <c r="G498" s="62">
        <f>SUM(G499:G500)</f>
        <v>0</v>
      </c>
      <c r="H498" s="169">
        <f t="shared" si="25"/>
        <v>216500</v>
      </c>
    </row>
    <row r="499" spans="1:19" ht="37.5" x14ac:dyDescent="0.2">
      <c r="A499" s="57"/>
      <c r="B499" s="57"/>
      <c r="C499" s="57"/>
      <c r="D499" s="57"/>
      <c r="E499" s="3" t="s">
        <v>449</v>
      </c>
      <c r="F499" s="62">
        <v>167300</v>
      </c>
      <c r="G499" s="62"/>
      <c r="H499" s="166">
        <f t="shared" si="25"/>
        <v>167300</v>
      </c>
    </row>
    <row r="500" spans="1:19" ht="37.5" x14ac:dyDescent="0.2">
      <c r="A500" s="57"/>
      <c r="B500" s="57"/>
      <c r="C500" s="57"/>
      <c r="D500" s="57"/>
      <c r="E500" s="8" t="s">
        <v>495</v>
      </c>
      <c r="F500" s="62">
        <v>49200</v>
      </c>
      <c r="G500" s="62"/>
      <c r="H500" s="166">
        <f t="shared" si="25"/>
        <v>49200</v>
      </c>
    </row>
    <row r="501" spans="1:19" ht="37.5" x14ac:dyDescent="0.2">
      <c r="A501" s="37" t="s">
        <v>450</v>
      </c>
      <c r="B501" s="37" t="s">
        <v>55</v>
      </c>
      <c r="C501" s="37" t="s">
        <v>26</v>
      </c>
      <c r="D501" s="38" t="s">
        <v>224</v>
      </c>
      <c r="E501" s="8"/>
      <c r="F501" s="62">
        <f>F502</f>
        <v>894500</v>
      </c>
      <c r="G501" s="52">
        <f>G502</f>
        <v>0</v>
      </c>
      <c r="H501" s="169">
        <f t="shared" si="25"/>
        <v>894500</v>
      </c>
    </row>
    <row r="502" spans="1:19" x14ac:dyDescent="0.2">
      <c r="A502" s="57"/>
      <c r="B502" s="57"/>
      <c r="C502" s="57"/>
      <c r="D502" s="57"/>
      <c r="E502" s="3" t="s">
        <v>451</v>
      </c>
      <c r="F502" s="62">
        <v>894500</v>
      </c>
      <c r="G502" s="62"/>
      <c r="H502" s="166">
        <f t="shared" si="25"/>
        <v>894500</v>
      </c>
    </row>
    <row r="503" spans="1:19" s="81" customFormat="1" ht="37.5" x14ac:dyDescent="0.2">
      <c r="A503" s="37" t="s">
        <v>56</v>
      </c>
      <c r="B503" s="37" t="s">
        <v>57</v>
      </c>
      <c r="C503" s="37" t="s">
        <v>26</v>
      </c>
      <c r="D503" s="38" t="s">
        <v>58</v>
      </c>
      <c r="E503" s="39"/>
      <c r="F503" s="52">
        <f>SUM(F504:F504)</f>
        <v>3720254</v>
      </c>
      <c r="G503" s="52">
        <f>SUM(G504:G504)</f>
        <v>-982000</v>
      </c>
      <c r="H503" s="169">
        <f t="shared" si="25"/>
        <v>2738254</v>
      </c>
      <c r="I503" s="80"/>
      <c r="J503" s="80"/>
      <c r="K503" s="80"/>
      <c r="L503" s="80"/>
      <c r="M503" s="80"/>
      <c r="N503" s="80"/>
      <c r="O503" s="80"/>
      <c r="P503" s="80"/>
      <c r="Q503" s="80"/>
      <c r="R503" s="80"/>
      <c r="S503" s="80"/>
    </row>
    <row r="504" spans="1:19" ht="37.5" x14ac:dyDescent="0.2">
      <c r="A504" s="70"/>
      <c r="B504" s="70"/>
      <c r="C504" s="70"/>
      <c r="D504" s="8"/>
      <c r="E504" s="61" t="s">
        <v>174</v>
      </c>
      <c r="F504" s="62">
        <v>3720254</v>
      </c>
      <c r="G504" s="62">
        <f>-982000</f>
        <v>-982000</v>
      </c>
      <c r="H504" s="166">
        <f t="shared" si="25"/>
        <v>2738254</v>
      </c>
    </row>
    <row r="505" spans="1:19" s="81" customFormat="1" ht="37.5" x14ac:dyDescent="0.2">
      <c r="A505" s="37" t="s">
        <v>7</v>
      </c>
      <c r="B505" s="37" t="s">
        <v>8</v>
      </c>
      <c r="C505" s="37" t="s">
        <v>9</v>
      </c>
      <c r="D505" s="83" t="s">
        <v>10</v>
      </c>
      <c r="E505" s="77"/>
      <c r="F505" s="52">
        <f>SUM(F506)</f>
        <v>1251870</v>
      </c>
      <c r="G505" s="52">
        <f>SUM(G506)</f>
        <v>1173400</v>
      </c>
      <c r="H505" s="169">
        <f t="shared" si="25"/>
        <v>2425270</v>
      </c>
      <c r="I505" s="80"/>
      <c r="J505" s="80"/>
      <c r="K505" s="80"/>
      <c r="L505" s="80"/>
      <c r="M505" s="80"/>
      <c r="N505" s="80"/>
      <c r="O505" s="80"/>
      <c r="P505" s="80"/>
      <c r="Q505" s="80"/>
      <c r="R505" s="80"/>
      <c r="S505" s="80"/>
    </row>
    <row r="506" spans="1:19" ht="56.25" x14ac:dyDescent="0.2">
      <c r="A506" s="70"/>
      <c r="B506" s="70"/>
      <c r="C506" s="70"/>
      <c r="D506" s="8"/>
      <c r="E506" s="8" t="s">
        <v>229</v>
      </c>
      <c r="F506" s="62">
        <v>1251870</v>
      </c>
      <c r="G506" s="62">
        <f>1173400</f>
        <v>1173400</v>
      </c>
      <c r="H506" s="166">
        <f t="shared" si="25"/>
        <v>2425270</v>
      </c>
    </row>
    <row r="507" spans="1:19" s="49" customFormat="1" x14ac:dyDescent="0.2">
      <c r="A507" s="33" t="s">
        <v>18</v>
      </c>
      <c r="B507" s="43"/>
      <c r="C507" s="43"/>
      <c r="D507" s="43" t="s">
        <v>19</v>
      </c>
      <c r="E507" s="35"/>
      <c r="F507" s="47">
        <f>F509+F517+F523+F521+F519</f>
        <v>62364440</v>
      </c>
      <c r="G507" s="47">
        <f>G509+G517+G523+G521+G519</f>
        <v>3400000</v>
      </c>
      <c r="H507" s="165">
        <f t="shared" si="25"/>
        <v>65764440</v>
      </c>
      <c r="I507" s="48"/>
      <c r="J507" s="48"/>
      <c r="K507" s="48"/>
      <c r="L507" s="48"/>
      <c r="M507" s="48"/>
      <c r="N507" s="48"/>
      <c r="O507" s="48"/>
      <c r="P507" s="48"/>
      <c r="Q507" s="48"/>
      <c r="R507" s="48"/>
      <c r="S507" s="48"/>
    </row>
    <row r="508" spans="1:19" s="49" customFormat="1" x14ac:dyDescent="0.2">
      <c r="A508" s="33" t="s">
        <v>20</v>
      </c>
      <c r="B508" s="43"/>
      <c r="C508" s="43"/>
      <c r="D508" s="46" t="s">
        <v>19</v>
      </c>
      <c r="E508" s="35"/>
      <c r="F508" s="47"/>
      <c r="G508" s="47"/>
      <c r="H508" s="165">
        <f t="shared" si="25"/>
        <v>0</v>
      </c>
      <c r="I508" s="48"/>
      <c r="J508" s="48"/>
      <c r="K508" s="48"/>
      <c r="L508" s="48"/>
      <c r="M508" s="48"/>
      <c r="N508" s="48"/>
      <c r="O508" s="48"/>
      <c r="P508" s="48"/>
      <c r="Q508" s="48"/>
      <c r="R508" s="48"/>
      <c r="S508" s="48"/>
    </row>
    <row r="509" spans="1:19" x14ac:dyDescent="0.2">
      <c r="A509" s="37" t="s">
        <v>27</v>
      </c>
      <c r="B509" s="37" t="s">
        <v>28</v>
      </c>
      <c r="C509" s="37" t="s">
        <v>29</v>
      </c>
      <c r="D509" s="37" t="s">
        <v>21</v>
      </c>
      <c r="E509" s="8"/>
      <c r="F509" s="52">
        <f>SUM(F510:F516)</f>
        <v>12050540</v>
      </c>
      <c r="G509" s="52">
        <f>SUM(G510:G516)</f>
        <v>0</v>
      </c>
      <c r="H509" s="169">
        <f t="shared" si="25"/>
        <v>12050540</v>
      </c>
    </row>
    <row r="510" spans="1:19" x14ac:dyDescent="0.2">
      <c r="A510" s="70"/>
      <c r="B510" s="70"/>
      <c r="C510" s="70"/>
      <c r="D510" s="8"/>
      <c r="E510" s="8" t="s">
        <v>334</v>
      </c>
      <c r="F510" s="62">
        <v>1030030</v>
      </c>
      <c r="G510" s="62"/>
      <c r="H510" s="166">
        <f t="shared" si="25"/>
        <v>1030030</v>
      </c>
    </row>
    <row r="511" spans="1:19" x14ac:dyDescent="0.2">
      <c r="A511" s="70"/>
      <c r="B511" s="70"/>
      <c r="C511" s="70"/>
      <c r="D511" s="8"/>
      <c r="E511" s="10" t="s">
        <v>201</v>
      </c>
      <c r="F511" s="62">
        <v>728373</v>
      </c>
      <c r="G511" s="62">
        <f>600000</f>
        <v>600000</v>
      </c>
      <c r="H511" s="166">
        <f t="shared" si="25"/>
        <v>1328373</v>
      </c>
    </row>
    <row r="512" spans="1:19" x14ac:dyDescent="0.2">
      <c r="A512" s="70"/>
      <c r="B512" s="70"/>
      <c r="C512" s="70"/>
      <c r="D512" s="8"/>
      <c r="E512" s="10" t="s">
        <v>329</v>
      </c>
      <c r="F512" s="62">
        <v>76117</v>
      </c>
      <c r="G512" s="62"/>
      <c r="H512" s="166">
        <f t="shared" si="25"/>
        <v>76117</v>
      </c>
    </row>
    <row r="513" spans="1:19" x14ac:dyDescent="0.2">
      <c r="A513" s="70"/>
      <c r="B513" s="70"/>
      <c r="C513" s="70"/>
      <c r="D513" s="8"/>
      <c r="E513" s="10" t="s">
        <v>330</v>
      </c>
      <c r="F513" s="62">
        <v>632440</v>
      </c>
      <c r="G513" s="62"/>
      <c r="H513" s="166">
        <f t="shared" si="25"/>
        <v>632440</v>
      </c>
    </row>
    <row r="514" spans="1:19" x14ac:dyDescent="0.2">
      <c r="A514" s="70"/>
      <c r="B514" s="70"/>
      <c r="C514" s="70"/>
      <c r="D514" s="8"/>
      <c r="E514" s="10" t="s">
        <v>331</v>
      </c>
      <c r="F514" s="62">
        <v>1398640</v>
      </c>
      <c r="G514" s="62"/>
      <c r="H514" s="166">
        <f t="shared" si="25"/>
        <v>1398640</v>
      </c>
    </row>
    <row r="515" spans="1:19" x14ac:dyDescent="0.2">
      <c r="A515" s="70"/>
      <c r="B515" s="70"/>
      <c r="C515" s="70"/>
      <c r="D515" s="8"/>
      <c r="E515" s="10" t="s">
        <v>332</v>
      </c>
      <c r="F515" s="62">
        <v>6802575</v>
      </c>
      <c r="G515" s="62">
        <f>-600000</f>
        <v>-600000</v>
      </c>
      <c r="H515" s="166">
        <f t="shared" si="25"/>
        <v>6202575</v>
      </c>
    </row>
    <row r="516" spans="1:19" ht="37.5" x14ac:dyDescent="0.2">
      <c r="A516" s="70"/>
      <c r="B516" s="70"/>
      <c r="C516" s="70"/>
      <c r="D516" s="8"/>
      <c r="E516" s="10" t="s">
        <v>333</v>
      </c>
      <c r="F516" s="62">
        <v>1382365</v>
      </c>
      <c r="G516" s="62"/>
      <c r="H516" s="166">
        <f t="shared" si="25"/>
        <v>1382365</v>
      </c>
    </row>
    <row r="517" spans="1:19" ht="37.5" x14ac:dyDescent="0.2">
      <c r="A517" s="37" t="s">
        <v>24</v>
      </c>
      <c r="B517" s="37" t="s">
        <v>25</v>
      </c>
      <c r="C517" s="37" t="s">
        <v>26</v>
      </c>
      <c r="D517" s="38" t="s">
        <v>22</v>
      </c>
      <c r="E517" s="8"/>
      <c r="F517" s="52">
        <f>SUM(F518)</f>
        <v>700000</v>
      </c>
      <c r="G517" s="52">
        <f>SUM(G518)</f>
        <v>0</v>
      </c>
      <c r="H517" s="169">
        <f t="shared" si="25"/>
        <v>700000</v>
      </c>
    </row>
    <row r="518" spans="1:19" x14ac:dyDescent="0.2">
      <c r="A518" s="57"/>
      <c r="B518" s="57"/>
      <c r="C518" s="57"/>
      <c r="D518" s="57"/>
      <c r="E518" s="8" t="s">
        <v>202</v>
      </c>
      <c r="F518" s="62">
        <v>700000</v>
      </c>
      <c r="G518" s="62"/>
      <c r="H518" s="166">
        <f t="shared" si="25"/>
        <v>700000</v>
      </c>
    </row>
    <row r="519" spans="1:19" s="65" customFormat="1" x14ac:dyDescent="0.2">
      <c r="A519" s="37" t="s">
        <v>105</v>
      </c>
      <c r="B519" s="50" t="s">
        <v>106</v>
      </c>
      <c r="C519" s="50" t="s">
        <v>107</v>
      </c>
      <c r="D519" s="51" t="s">
        <v>108</v>
      </c>
      <c r="E519" s="36"/>
      <c r="F519" s="64">
        <f>SUM(F520)</f>
        <v>1500000</v>
      </c>
      <c r="G519" s="64">
        <f>SUM(G520)</f>
        <v>-1500000</v>
      </c>
      <c r="H519" s="171">
        <f>F519+G519</f>
        <v>0</v>
      </c>
    </row>
    <row r="520" spans="1:19" x14ac:dyDescent="0.2">
      <c r="A520" s="71"/>
      <c r="B520" s="71"/>
      <c r="C520" s="71"/>
      <c r="D520" s="71"/>
      <c r="E520" s="8" t="s">
        <v>186</v>
      </c>
      <c r="F520" s="62">
        <v>1500000</v>
      </c>
      <c r="G520" s="62">
        <f>-1500000</f>
        <v>-1500000</v>
      </c>
      <c r="H520" s="166">
        <f>F520+G520</f>
        <v>0</v>
      </c>
      <c r="Q520" s="18"/>
      <c r="R520" s="18"/>
      <c r="S520" s="18"/>
    </row>
    <row r="521" spans="1:19" ht="37.5" x14ac:dyDescent="0.2">
      <c r="A521" s="50" t="s">
        <v>109</v>
      </c>
      <c r="B521" s="50" t="s">
        <v>110</v>
      </c>
      <c r="C521" s="50" t="s">
        <v>111</v>
      </c>
      <c r="D521" s="50" t="s">
        <v>112</v>
      </c>
      <c r="E521" s="63"/>
      <c r="F521" s="52">
        <f>SUM(F522)</f>
        <v>3911400</v>
      </c>
      <c r="G521" s="52">
        <f>SUM(G522)</f>
        <v>0</v>
      </c>
      <c r="H521" s="169">
        <f t="shared" si="25"/>
        <v>3911400</v>
      </c>
    </row>
    <row r="522" spans="1:19" x14ac:dyDescent="0.2">
      <c r="A522" s="57"/>
      <c r="B522" s="57"/>
      <c r="C522" s="57"/>
      <c r="D522" s="57"/>
      <c r="E522" s="8" t="s">
        <v>186</v>
      </c>
      <c r="F522" s="62">
        <v>3911400</v>
      </c>
      <c r="G522" s="62"/>
      <c r="H522" s="166">
        <f t="shared" si="25"/>
        <v>3911400</v>
      </c>
    </row>
    <row r="523" spans="1:19" ht="37.5" x14ac:dyDescent="0.2">
      <c r="A523" s="37" t="s">
        <v>23</v>
      </c>
      <c r="B523" s="37" t="s">
        <v>8</v>
      </c>
      <c r="C523" s="37" t="s">
        <v>9</v>
      </c>
      <c r="D523" s="83" t="s">
        <v>10</v>
      </c>
      <c r="E523" s="88"/>
      <c r="F523" s="52">
        <f>SUM(F524)</f>
        <v>44202500</v>
      </c>
      <c r="G523" s="52">
        <f>SUM(G524)</f>
        <v>4900000</v>
      </c>
      <c r="H523" s="169">
        <f t="shared" si="25"/>
        <v>49102500</v>
      </c>
    </row>
    <row r="524" spans="1:19" ht="37.5" x14ac:dyDescent="0.2">
      <c r="A524" s="57"/>
      <c r="B524" s="57"/>
      <c r="C524" s="57"/>
      <c r="D524" s="77"/>
      <c r="E524" s="61" t="s">
        <v>230</v>
      </c>
      <c r="F524" s="62">
        <v>44202500</v>
      </c>
      <c r="G524" s="62">
        <f>4900000</f>
        <v>4900000</v>
      </c>
      <c r="H524" s="166">
        <f t="shared" ref="H524:H562" si="26">F524+G524</f>
        <v>49102500</v>
      </c>
    </row>
    <row r="525" spans="1:19" s="49" customFormat="1" ht="37.5" x14ac:dyDescent="0.2">
      <c r="A525" s="33" t="s">
        <v>358</v>
      </c>
      <c r="B525" s="33"/>
      <c r="C525" s="33"/>
      <c r="D525" s="29" t="s">
        <v>359</v>
      </c>
      <c r="E525" s="35"/>
      <c r="F525" s="47">
        <f>F527+F529</f>
        <v>273100</v>
      </c>
      <c r="G525" s="47">
        <f>G527+G529</f>
        <v>135208</v>
      </c>
      <c r="H525" s="165">
        <f t="shared" si="26"/>
        <v>408308</v>
      </c>
      <c r="I525" s="48"/>
      <c r="J525" s="48"/>
      <c r="K525" s="48"/>
      <c r="L525" s="48"/>
      <c r="M525" s="48"/>
      <c r="N525" s="48"/>
      <c r="O525" s="48"/>
      <c r="P525" s="48"/>
      <c r="Q525" s="48"/>
      <c r="R525" s="48"/>
      <c r="S525" s="48"/>
    </row>
    <row r="526" spans="1:19" ht="37.5" x14ac:dyDescent="0.2">
      <c r="A526" s="33" t="s">
        <v>360</v>
      </c>
      <c r="B526" s="33"/>
      <c r="C526" s="33"/>
      <c r="D526" s="35" t="s">
        <v>359</v>
      </c>
      <c r="E526" s="8"/>
      <c r="F526" s="62"/>
      <c r="G526" s="62"/>
      <c r="H526" s="166">
        <f t="shared" si="26"/>
        <v>0</v>
      </c>
    </row>
    <row r="527" spans="1:19" s="81" customFormat="1" ht="56.25" x14ac:dyDescent="0.2">
      <c r="A527" s="37" t="s">
        <v>361</v>
      </c>
      <c r="B527" s="50" t="s">
        <v>4</v>
      </c>
      <c r="C527" s="50" t="s">
        <v>5</v>
      </c>
      <c r="D527" s="51" t="s">
        <v>6</v>
      </c>
      <c r="E527" s="77"/>
      <c r="F527" s="52">
        <f>SUM(F528)</f>
        <v>83100</v>
      </c>
      <c r="G527" s="52">
        <f>SUM(G528)</f>
        <v>37608</v>
      </c>
      <c r="H527" s="169">
        <f t="shared" si="26"/>
        <v>120708</v>
      </c>
      <c r="I527" s="80"/>
      <c r="J527" s="80"/>
      <c r="K527" s="80"/>
      <c r="L527" s="80"/>
      <c r="M527" s="80"/>
      <c r="N527" s="80"/>
      <c r="O527" s="80"/>
      <c r="P527" s="80"/>
      <c r="Q527" s="80"/>
      <c r="R527" s="80"/>
      <c r="S527" s="80"/>
    </row>
    <row r="528" spans="1:19" x14ac:dyDescent="0.2">
      <c r="A528" s="37"/>
      <c r="B528" s="37"/>
      <c r="C528" s="37"/>
      <c r="D528" s="121"/>
      <c r="E528" s="8" t="s">
        <v>362</v>
      </c>
      <c r="F528" s="62">
        <f>83100</f>
        <v>83100</v>
      </c>
      <c r="G528" s="62">
        <f>37608</f>
        <v>37608</v>
      </c>
      <c r="H528" s="166">
        <f t="shared" si="26"/>
        <v>120708</v>
      </c>
    </row>
    <row r="529" spans="1:19" x14ac:dyDescent="0.2">
      <c r="A529" s="37" t="s">
        <v>405</v>
      </c>
      <c r="B529" s="37" t="s">
        <v>337</v>
      </c>
      <c r="C529" s="37" t="s">
        <v>406</v>
      </c>
      <c r="D529" s="121" t="s">
        <v>338</v>
      </c>
      <c r="E529" s="8"/>
      <c r="F529" s="62">
        <f>SUM(F530:F532)</f>
        <v>190000</v>
      </c>
      <c r="G529" s="62">
        <f>SUM(G530:G532)</f>
        <v>97600</v>
      </c>
      <c r="H529" s="169">
        <f t="shared" si="26"/>
        <v>287600</v>
      </c>
    </row>
    <row r="530" spans="1:19" x14ac:dyDescent="0.2">
      <c r="A530" s="37"/>
      <c r="B530" s="37"/>
      <c r="C530" s="37"/>
      <c r="D530" s="121"/>
      <c r="E530" s="8" t="s">
        <v>407</v>
      </c>
      <c r="F530" s="62">
        <v>190000</v>
      </c>
      <c r="G530" s="62"/>
      <c r="H530" s="166">
        <f t="shared" si="26"/>
        <v>190000</v>
      </c>
    </row>
    <row r="531" spans="1:19" ht="56.25" x14ac:dyDescent="0.2">
      <c r="A531" s="37"/>
      <c r="B531" s="37"/>
      <c r="C531" s="37"/>
      <c r="D531" s="121"/>
      <c r="E531" s="8" t="s">
        <v>518</v>
      </c>
      <c r="F531" s="62"/>
      <c r="G531" s="62">
        <f>65500</f>
        <v>65500</v>
      </c>
      <c r="H531" s="166">
        <f t="shared" si="26"/>
        <v>65500</v>
      </c>
    </row>
    <row r="532" spans="1:19" ht="56.25" x14ac:dyDescent="0.2">
      <c r="A532" s="37"/>
      <c r="B532" s="37"/>
      <c r="C532" s="37"/>
      <c r="D532" s="121"/>
      <c r="E532" s="8" t="s">
        <v>519</v>
      </c>
      <c r="F532" s="62"/>
      <c r="G532" s="62">
        <f>32100</f>
        <v>32100</v>
      </c>
      <c r="H532" s="166">
        <f t="shared" si="26"/>
        <v>32100</v>
      </c>
    </row>
    <row r="533" spans="1:19" ht="20.25" customHeight="1" x14ac:dyDescent="0.2">
      <c r="A533" s="33" t="s">
        <v>452</v>
      </c>
      <c r="B533" s="37"/>
      <c r="C533" s="37"/>
      <c r="D533" s="2" t="s">
        <v>454</v>
      </c>
      <c r="E533" s="8"/>
      <c r="F533" s="47">
        <f>F535</f>
        <v>80000</v>
      </c>
      <c r="G533" s="47">
        <f>G535</f>
        <v>0</v>
      </c>
      <c r="H533" s="165">
        <f t="shared" si="26"/>
        <v>80000</v>
      </c>
    </row>
    <row r="534" spans="1:19" x14ac:dyDescent="0.2">
      <c r="A534" s="33" t="s">
        <v>453</v>
      </c>
      <c r="B534" s="37"/>
      <c r="C534" s="37"/>
      <c r="D534" s="1" t="s">
        <v>454</v>
      </c>
      <c r="E534" s="8"/>
      <c r="F534" s="62"/>
      <c r="G534" s="62"/>
      <c r="H534" s="166">
        <f t="shared" si="26"/>
        <v>0</v>
      </c>
    </row>
    <row r="535" spans="1:19" ht="56.25" x14ac:dyDescent="0.2">
      <c r="A535" s="37" t="s">
        <v>455</v>
      </c>
      <c r="B535" s="50" t="s">
        <v>4</v>
      </c>
      <c r="C535" s="50" t="s">
        <v>5</v>
      </c>
      <c r="D535" s="51" t="s">
        <v>6</v>
      </c>
      <c r="E535" s="8"/>
      <c r="F535" s="52">
        <f>F536</f>
        <v>80000</v>
      </c>
      <c r="G535" s="52">
        <f>G536</f>
        <v>0</v>
      </c>
      <c r="H535" s="169">
        <f t="shared" si="26"/>
        <v>80000</v>
      </c>
    </row>
    <row r="536" spans="1:19" ht="37.5" x14ac:dyDescent="0.2">
      <c r="A536" s="37"/>
      <c r="B536" s="37"/>
      <c r="C536" s="37"/>
      <c r="D536" s="121"/>
      <c r="E536" s="3" t="s">
        <v>356</v>
      </c>
      <c r="F536" s="62">
        <v>80000</v>
      </c>
      <c r="G536" s="62"/>
      <c r="H536" s="166">
        <f t="shared" si="26"/>
        <v>80000</v>
      </c>
    </row>
    <row r="537" spans="1:19" s="49" customFormat="1" ht="37.5" x14ac:dyDescent="0.2">
      <c r="A537" s="33" t="s">
        <v>30</v>
      </c>
      <c r="B537" s="33"/>
      <c r="C537" s="33"/>
      <c r="D537" s="33" t="s">
        <v>31</v>
      </c>
      <c r="E537" s="35"/>
      <c r="F537" s="47">
        <f>F539+F541+F543</f>
        <v>14770500</v>
      </c>
      <c r="G537" s="47">
        <f>G539+G541+G543</f>
        <v>-3100000</v>
      </c>
      <c r="H537" s="165">
        <f t="shared" si="26"/>
        <v>11670500</v>
      </c>
      <c r="I537" s="48"/>
      <c r="J537" s="48"/>
      <c r="K537" s="48"/>
      <c r="L537" s="48"/>
      <c r="M537" s="48"/>
      <c r="N537" s="48"/>
      <c r="O537" s="48"/>
      <c r="P537" s="48"/>
      <c r="Q537" s="48"/>
      <c r="R537" s="48"/>
      <c r="S537" s="48"/>
    </row>
    <row r="538" spans="1:19" ht="37.5" x14ac:dyDescent="0.2">
      <c r="A538" s="33" t="s">
        <v>32</v>
      </c>
      <c r="B538" s="33"/>
      <c r="C538" s="33"/>
      <c r="D538" s="54" t="s">
        <v>31</v>
      </c>
      <c r="E538" s="8"/>
      <c r="F538" s="62"/>
      <c r="G538" s="62"/>
      <c r="H538" s="166">
        <f t="shared" si="26"/>
        <v>0</v>
      </c>
    </row>
    <row r="539" spans="1:19" s="81" customFormat="1" ht="56.25" x14ac:dyDescent="0.2">
      <c r="A539" s="37" t="s">
        <v>33</v>
      </c>
      <c r="B539" s="50" t="s">
        <v>4</v>
      </c>
      <c r="C539" s="50" t="s">
        <v>5</v>
      </c>
      <c r="D539" s="51" t="s">
        <v>6</v>
      </c>
      <c r="E539" s="77"/>
      <c r="F539" s="52">
        <f>SUM(F540:F540)</f>
        <v>530000</v>
      </c>
      <c r="G539" s="52">
        <f>SUM(G540:G540)</f>
        <v>200000</v>
      </c>
      <c r="H539" s="169">
        <f t="shared" si="26"/>
        <v>730000</v>
      </c>
      <c r="I539" s="80"/>
      <c r="J539" s="80"/>
      <c r="K539" s="80"/>
      <c r="L539" s="80"/>
      <c r="M539" s="80"/>
      <c r="N539" s="80"/>
      <c r="O539" s="80"/>
      <c r="P539" s="80"/>
      <c r="Q539" s="80"/>
      <c r="R539" s="80"/>
      <c r="S539" s="80"/>
    </row>
    <row r="540" spans="1:19" x14ac:dyDescent="0.2">
      <c r="A540" s="37"/>
      <c r="B540" s="37"/>
      <c r="C540" s="37"/>
      <c r="D540" s="121"/>
      <c r="E540" s="8" t="s">
        <v>41</v>
      </c>
      <c r="F540" s="62">
        <v>530000</v>
      </c>
      <c r="G540" s="62">
        <f>200000</f>
        <v>200000</v>
      </c>
      <c r="H540" s="166">
        <f t="shared" si="26"/>
        <v>730000</v>
      </c>
    </row>
    <row r="541" spans="1:19" s="81" customFormat="1" x14ac:dyDescent="0.2">
      <c r="A541" s="37" t="s">
        <v>34</v>
      </c>
      <c r="B541" s="37" t="s">
        <v>35</v>
      </c>
      <c r="C541" s="37" t="s">
        <v>36</v>
      </c>
      <c r="D541" s="38" t="s">
        <v>37</v>
      </c>
      <c r="E541" s="77"/>
      <c r="F541" s="52">
        <f>F542</f>
        <v>2130000</v>
      </c>
      <c r="G541" s="52">
        <f>G542</f>
        <v>0</v>
      </c>
      <c r="H541" s="169">
        <f t="shared" si="26"/>
        <v>2130000</v>
      </c>
      <c r="I541" s="80"/>
      <c r="J541" s="80"/>
      <c r="K541" s="80"/>
      <c r="L541" s="80"/>
      <c r="M541" s="80"/>
      <c r="N541" s="80"/>
      <c r="O541" s="80"/>
      <c r="P541" s="80"/>
      <c r="Q541" s="80"/>
      <c r="R541" s="80"/>
      <c r="S541" s="80"/>
    </row>
    <row r="542" spans="1:19" ht="37.5" x14ac:dyDescent="0.2">
      <c r="A542" s="37"/>
      <c r="B542" s="37"/>
      <c r="C542" s="37"/>
      <c r="D542" s="104"/>
      <c r="E542" s="61" t="s">
        <v>164</v>
      </c>
      <c r="F542" s="62">
        <v>2130000</v>
      </c>
      <c r="G542" s="62"/>
      <c r="H542" s="166">
        <f t="shared" si="26"/>
        <v>2130000</v>
      </c>
    </row>
    <row r="543" spans="1:19" s="81" customFormat="1" x14ac:dyDescent="0.2">
      <c r="A543" s="37" t="s">
        <v>38</v>
      </c>
      <c r="B543" s="37" t="s">
        <v>39</v>
      </c>
      <c r="C543" s="37" t="s">
        <v>35</v>
      </c>
      <c r="D543" s="51" t="s">
        <v>40</v>
      </c>
      <c r="E543" s="77"/>
      <c r="F543" s="52">
        <f>SUM(F544:F562)</f>
        <v>12110500</v>
      </c>
      <c r="G543" s="52">
        <f>SUM(G544:G562)</f>
        <v>-3300000</v>
      </c>
      <c r="H543" s="169">
        <f t="shared" si="26"/>
        <v>8810500</v>
      </c>
      <c r="I543" s="80"/>
      <c r="J543" s="80"/>
      <c r="K543" s="80"/>
      <c r="L543" s="80"/>
      <c r="M543" s="80"/>
      <c r="N543" s="80"/>
      <c r="O543" s="80"/>
      <c r="P543" s="80"/>
      <c r="Q543" s="80"/>
      <c r="R543" s="80"/>
      <c r="S543" s="80"/>
    </row>
    <row r="544" spans="1:19" x14ac:dyDescent="0.2">
      <c r="A544" s="57"/>
      <c r="B544" s="57"/>
      <c r="C544" s="57"/>
      <c r="D544" s="57"/>
      <c r="E544" s="9" t="s">
        <v>165</v>
      </c>
      <c r="F544" s="62">
        <v>500000</v>
      </c>
      <c r="G544" s="62"/>
      <c r="H544" s="166">
        <f t="shared" si="26"/>
        <v>500000</v>
      </c>
    </row>
    <row r="545" spans="1:8" x14ac:dyDescent="0.2">
      <c r="A545" s="57"/>
      <c r="B545" s="57"/>
      <c r="C545" s="57"/>
      <c r="D545" s="57"/>
      <c r="E545" s="9" t="s">
        <v>166</v>
      </c>
      <c r="F545" s="62">
        <v>2150000</v>
      </c>
      <c r="G545" s="62"/>
      <c r="H545" s="166">
        <f t="shared" si="26"/>
        <v>2150000</v>
      </c>
    </row>
    <row r="546" spans="1:8" x14ac:dyDescent="0.2">
      <c r="A546" s="57"/>
      <c r="B546" s="57"/>
      <c r="C546" s="57"/>
      <c r="D546" s="57"/>
      <c r="E546" s="9" t="s">
        <v>167</v>
      </c>
      <c r="F546" s="62">
        <v>500000</v>
      </c>
      <c r="G546" s="62"/>
      <c r="H546" s="166">
        <f t="shared" si="26"/>
        <v>500000</v>
      </c>
    </row>
    <row r="547" spans="1:8" x14ac:dyDescent="0.2">
      <c r="A547" s="57"/>
      <c r="B547" s="57"/>
      <c r="C547" s="57"/>
      <c r="D547" s="57"/>
      <c r="E547" s="9" t="s">
        <v>168</v>
      </c>
      <c r="F547" s="62">
        <v>500000</v>
      </c>
      <c r="G547" s="62"/>
      <c r="H547" s="166">
        <f t="shared" si="26"/>
        <v>500000</v>
      </c>
    </row>
    <row r="548" spans="1:8" x14ac:dyDescent="0.2">
      <c r="A548" s="57"/>
      <c r="B548" s="57"/>
      <c r="C548" s="57"/>
      <c r="D548" s="57"/>
      <c r="E548" s="9" t="s">
        <v>169</v>
      </c>
      <c r="F548" s="62">
        <v>500000</v>
      </c>
      <c r="G548" s="62"/>
      <c r="H548" s="166">
        <f t="shared" si="26"/>
        <v>500000</v>
      </c>
    </row>
    <row r="549" spans="1:8" ht="37.5" x14ac:dyDescent="0.2">
      <c r="A549" s="57"/>
      <c r="B549" s="57"/>
      <c r="C549" s="57"/>
      <c r="D549" s="57"/>
      <c r="E549" s="9" t="s">
        <v>408</v>
      </c>
      <c r="F549" s="62">
        <v>350000</v>
      </c>
      <c r="G549" s="62"/>
      <c r="H549" s="166">
        <f t="shared" si="26"/>
        <v>350000</v>
      </c>
    </row>
    <row r="550" spans="1:8" x14ac:dyDescent="0.2">
      <c r="A550" s="57"/>
      <c r="B550" s="57"/>
      <c r="C550" s="57"/>
      <c r="D550" s="57"/>
      <c r="E550" s="9" t="s">
        <v>222</v>
      </c>
      <c r="F550" s="62">
        <v>1000000</v>
      </c>
      <c r="G550" s="62"/>
      <c r="H550" s="166">
        <f t="shared" si="26"/>
        <v>1000000</v>
      </c>
    </row>
    <row r="551" spans="1:8" x14ac:dyDescent="0.2">
      <c r="A551" s="57"/>
      <c r="B551" s="57"/>
      <c r="C551" s="57"/>
      <c r="D551" s="57"/>
      <c r="E551" s="9" t="s">
        <v>223</v>
      </c>
      <c r="F551" s="62">
        <v>800000</v>
      </c>
      <c r="G551" s="62"/>
      <c r="H551" s="166">
        <f t="shared" si="26"/>
        <v>800000</v>
      </c>
    </row>
    <row r="552" spans="1:8" x14ac:dyDescent="0.3">
      <c r="A552" s="57"/>
      <c r="B552" s="57"/>
      <c r="C552" s="57"/>
      <c r="D552" s="57"/>
      <c r="E552" s="122" t="s">
        <v>413</v>
      </c>
      <c r="F552" s="62">
        <v>200000</v>
      </c>
      <c r="G552" s="62"/>
      <c r="H552" s="166">
        <f t="shared" si="26"/>
        <v>200000</v>
      </c>
    </row>
    <row r="553" spans="1:8" x14ac:dyDescent="0.2">
      <c r="A553" s="57"/>
      <c r="B553" s="57"/>
      <c r="C553" s="57"/>
      <c r="D553" s="57"/>
      <c r="E553" s="9" t="s">
        <v>496</v>
      </c>
      <c r="F553" s="62">
        <v>200000</v>
      </c>
      <c r="G553" s="62"/>
      <c r="H553" s="166">
        <f t="shared" si="26"/>
        <v>200000</v>
      </c>
    </row>
    <row r="554" spans="1:8" x14ac:dyDescent="0.2">
      <c r="A554" s="57"/>
      <c r="B554" s="57"/>
      <c r="C554" s="57"/>
      <c r="D554" s="57"/>
      <c r="E554" s="9" t="s">
        <v>506</v>
      </c>
      <c r="F554" s="62">
        <v>100000</v>
      </c>
      <c r="G554" s="62"/>
      <c r="H554" s="166">
        <f t="shared" si="26"/>
        <v>100000</v>
      </c>
    </row>
    <row r="555" spans="1:8" x14ac:dyDescent="0.2">
      <c r="A555" s="57"/>
      <c r="B555" s="57"/>
      <c r="C555" s="57"/>
      <c r="D555" s="57"/>
      <c r="E555" s="9" t="s">
        <v>497</v>
      </c>
      <c r="F555" s="62">
        <v>150000</v>
      </c>
      <c r="G555" s="62"/>
      <c r="H555" s="166">
        <f t="shared" si="26"/>
        <v>150000</v>
      </c>
    </row>
    <row r="556" spans="1:8" x14ac:dyDescent="0.2">
      <c r="A556" s="57"/>
      <c r="B556" s="57"/>
      <c r="C556" s="57"/>
      <c r="D556" s="57"/>
      <c r="E556" s="9" t="s">
        <v>498</v>
      </c>
      <c r="F556" s="62">
        <v>100000</v>
      </c>
      <c r="G556" s="62"/>
      <c r="H556" s="166">
        <f t="shared" si="26"/>
        <v>100000</v>
      </c>
    </row>
    <row r="557" spans="1:8" ht="37.5" x14ac:dyDescent="0.3">
      <c r="A557" s="57"/>
      <c r="B557" s="57"/>
      <c r="C557" s="57"/>
      <c r="D557" s="57"/>
      <c r="E557" s="123" t="s">
        <v>421</v>
      </c>
      <c r="F557" s="62">
        <v>3000000</v>
      </c>
      <c r="G557" s="62">
        <f>-2600000</f>
        <v>-2600000</v>
      </c>
      <c r="H557" s="166">
        <f t="shared" si="26"/>
        <v>400000</v>
      </c>
    </row>
    <row r="558" spans="1:8" x14ac:dyDescent="0.2">
      <c r="A558" s="57"/>
      <c r="B558" s="57"/>
      <c r="C558" s="57"/>
      <c r="D558" s="57"/>
      <c r="E558" s="9" t="s">
        <v>348</v>
      </c>
      <c r="F558" s="62">
        <v>100000</v>
      </c>
      <c r="G558" s="62"/>
      <c r="H558" s="166">
        <f t="shared" si="26"/>
        <v>100000</v>
      </c>
    </row>
    <row r="559" spans="1:8" ht="75" x14ac:dyDescent="0.2">
      <c r="A559" s="57"/>
      <c r="B559" s="57"/>
      <c r="C559" s="57"/>
      <c r="D559" s="57"/>
      <c r="E559" s="5" t="s">
        <v>456</v>
      </c>
      <c r="F559" s="62">
        <v>700000</v>
      </c>
      <c r="G559" s="62">
        <f>-700000</f>
        <v>-700000</v>
      </c>
      <c r="H559" s="166">
        <f t="shared" si="26"/>
        <v>0</v>
      </c>
    </row>
    <row r="560" spans="1:8" ht="75" x14ac:dyDescent="0.2">
      <c r="A560" s="57"/>
      <c r="B560" s="57"/>
      <c r="C560" s="57"/>
      <c r="D560" s="57"/>
      <c r="E560" s="9" t="s">
        <v>434</v>
      </c>
      <c r="F560" s="62">
        <v>820800</v>
      </c>
      <c r="G560" s="62"/>
      <c r="H560" s="166">
        <f t="shared" si="26"/>
        <v>820800</v>
      </c>
    </row>
    <row r="561" spans="1:19" ht="75" x14ac:dyDescent="0.2">
      <c r="A561" s="57"/>
      <c r="B561" s="57"/>
      <c r="C561" s="57"/>
      <c r="D561" s="57"/>
      <c r="E561" s="9" t="s">
        <v>435</v>
      </c>
      <c r="F561" s="62">
        <v>279700</v>
      </c>
      <c r="G561" s="62"/>
      <c r="H561" s="166">
        <f t="shared" si="26"/>
        <v>279700</v>
      </c>
    </row>
    <row r="562" spans="1:19" ht="37.5" x14ac:dyDescent="0.2">
      <c r="A562" s="57"/>
      <c r="B562" s="57"/>
      <c r="C562" s="57"/>
      <c r="D562" s="57"/>
      <c r="E562" s="77" t="s">
        <v>270</v>
      </c>
      <c r="F562" s="62">
        <v>160000</v>
      </c>
      <c r="G562" s="62"/>
      <c r="H562" s="166">
        <f t="shared" si="26"/>
        <v>160000</v>
      </c>
    </row>
    <row r="563" spans="1:19" s="125" customFormat="1" ht="40.5" x14ac:dyDescent="0.2">
      <c r="A563" s="124"/>
      <c r="B563" s="124"/>
      <c r="C563" s="124"/>
      <c r="D563" s="124"/>
      <c r="E563" s="73" t="s">
        <v>187</v>
      </c>
      <c r="F563" s="93">
        <f>F537+F525+F507+F490+F302+F288+F272+F376+F319+F323+F240+F215+F298+F533</f>
        <v>471512271</v>
      </c>
      <c r="G563" s="93">
        <f>G537+G525+G507+G490+G302+G288+G272+G376+G319+G323+G240+G215+G298+G533</f>
        <v>-85946573</v>
      </c>
      <c r="H563" s="173">
        <f>H537+H525+H507+H490+H302+H288+H272+H376+H319+H323+H240+H215+H298+H533</f>
        <v>385565698</v>
      </c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</row>
    <row r="564" spans="1:19" s="129" customFormat="1" ht="20.25" x14ac:dyDescent="0.2">
      <c r="A564" s="182" t="s">
        <v>219</v>
      </c>
      <c r="B564" s="183"/>
      <c r="C564" s="183"/>
      <c r="D564" s="183"/>
      <c r="E564" s="184"/>
      <c r="F564" s="126"/>
      <c r="G564" s="100"/>
      <c r="H564" s="175"/>
      <c r="I564" s="127"/>
      <c r="J564" s="128"/>
      <c r="K564" s="128"/>
      <c r="L564" s="128"/>
      <c r="M564" s="128"/>
      <c r="N564" s="128"/>
      <c r="O564" s="128"/>
      <c r="P564" s="128"/>
      <c r="Q564" s="128"/>
    </row>
    <row r="565" spans="1:19" s="129" customFormat="1" ht="37.5" x14ac:dyDescent="0.2">
      <c r="A565" s="43" t="s">
        <v>137</v>
      </c>
      <c r="B565" s="43"/>
      <c r="C565" s="43"/>
      <c r="D565" s="28" t="s">
        <v>138</v>
      </c>
      <c r="E565" s="73"/>
      <c r="F565" s="45">
        <f>F567+F569+F577</f>
        <v>5322000</v>
      </c>
      <c r="G565" s="45">
        <f>G567+G569+G577</f>
        <v>0</v>
      </c>
      <c r="H565" s="176">
        <f t="shared" ref="H565:H571" si="27">F565+G565</f>
        <v>5322000</v>
      </c>
      <c r="I565" s="127"/>
      <c r="J565" s="128"/>
      <c r="K565" s="128"/>
      <c r="L565" s="128"/>
      <c r="M565" s="128"/>
      <c r="N565" s="128"/>
      <c r="O565" s="128"/>
      <c r="P565" s="128"/>
      <c r="Q565" s="128"/>
    </row>
    <row r="566" spans="1:19" s="129" customFormat="1" ht="37.5" x14ac:dyDescent="0.2">
      <c r="A566" s="43" t="s">
        <v>139</v>
      </c>
      <c r="B566" s="43"/>
      <c r="C566" s="43"/>
      <c r="D566" s="44" t="s">
        <v>138</v>
      </c>
      <c r="E566" s="73"/>
      <c r="F566" s="126"/>
      <c r="G566" s="126"/>
      <c r="H566" s="175">
        <f t="shared" si="27"/>
        <v>0</v>
      </c>
      <c r="I566" s="127"/>
      <c r="J566" s="128"/>
      <c r="K566" s="128"/>
      <c r="L566" s="128"/>
      <c r="M566" s="128"/>
      <c r="N566" s="128"/>
      <c r="O566" s="128"/>
      <c r="P566" s="128"/>
      <c r="Q566" s="128"/>
    </row>
    <row r="567" spans="1:19" s="135" customFormat="1" ht="20.25" x14ac:dyDescent="0.2">
      <c r="A567" s="130" t="s">
        <v>140</v>
      </c>
      <c r="B567" s="37">
        <v>1010</v>
      </c>
      <c r="C567" s="37" t="s">
        <v>97</v>
      </c>
      <c r="D567" s="131" t="s">
        <v>83</v>
      </c>
      <c r="E567" s="132"/>
      <c r="F567" s="64">
        <f>SUM(F568)</f>
        <v>333100</v>
      </c>
      <c r="G567" s="64">
        <f>SUM(G568)</f>
        <v>0</v>
      </c>
      <c r="H567" s="171">
        <f t="shared" si="27"/>
        <v>333100</v>
      </c>
      <c r="I567" s="133"/>
      <c r="J567" s="134"/>
      <c r="K567" s="134"/>
      <c r="L567" s="134"/>
      <c r="M567" s="134"/>
      <c r="N567" s="134"/>
      <c r="O567" s="134"/>
      <c r="P567" s="134"/>
      <c r="Q567" s="134"/>
    </row>
    <row r="568" spans="1:19" s="129" customFormat="1" ht="37.5" x14ac:dyDescent="0.2">
      <c r="A568" s="50"/>
      <c r="B568" s="50"/>
      <c r="C568" s="50"/>
      <c r="D568" s="106"/>
      <c r="E568" s="132" t="s">
        <v>220</v>
      </c>
      <c r="F568" s="100">
        <v>333100</v>
      </c>
      <c r="G568" s="100"/>
      <c r="H568" s="177">
        <f t="shared" si="27"/>
        <v>333100</v>
      </c>
      <c r="I568" s="127"/>
      <c r="J568" s="128"/>
      <c r="K568" s="128"/>
      <c r="L568" s="128"/>
      <c r="M568" s="128"/>
      <c r="N568" s="128"/>
      <c r="O568" s="128"/>
      <c r="P568" s="128"/>
      <c r="Q568" s="128"/>
    </row>
    <row r="569" spans="1:19" s="129" customFormat="1" ht="75" x14ac:dyDescent="0.2">
      <c r="A569" s="37" t="s">
        <v>141</v>
      </c>
      <c r="B569" s="37" t="s">
        <v>50</v>
      </c>
      <c r="C569" s="37" t="s">
        <v>142</v>
      </c>
      <c r="D569" s="38" t="s">
        <v>246</v>
      </c>
      <c r="E569" s="132"/>
      <c r="F569" s="64">
        <f>SUM(F570:F576)</f>
        <v>2134900</v>
      </c>
      <c r="G569" s="64">
        <f>SUM(G570:G576)</f>
        <v>0</v>
      </c>
      <c r="H569" s="171">
        <f t="shared" si="27"/>
        <v>2134900</v>
      </c>
      <c r="I569" s="127"/>
      <c r="J569" s="128"/>
      <c r="K569" s="128"/>
      <c r="L569" s="128"/>
      <c r="M569" s="128"/>
      <c r="N569" s="128"/>
      <c r="O569" s="128"/>
      <c r="P569" s="128"/>
      <c r="Q569" s="128"/>
    </row>
    <row r="570" spans="1:19" s="129" customFormat="1" ht="37.5" x14ac:dyDescent="0.2">
      <c r="A570" s="50"/>
      <c r="B570" s="50"/>
      <c r="C570" s="50"/>
      <c r="D570" s="106"/>
      <c r="E570" s="132" t="s">
        <v>220</v>
      </c>
      <c r="F570" s="100">
        <v>781500</v>
      </c>
      <c r="G570" s="100"/>
      <c r="H570" s="177">
        <f t="shared" si="27"/>
        <v>781500</v>
      </c>
      <c r="I570" s="127"/>
      <c r="J570" s="128"/>
      <c r="K570" s="128"/>
      <c r="L570" s="128"/>
      <c r="M570" s="128"/>
      <c r="N570" s="128"/>
      <c r="O570" s="128"/>
      <c r="P570" s="128"/>
      <c r="Q570" s="128"/>
    </row>
    <row r="571" spans="1:19" s="129" customFormat="1" ht="112.5" x14ac:dyDescent="0.2">
      <c r="A571" s="50"/>
      <c r="B571" s="50"/>
      <c r="C571" s="50"/>
      <c r="D571" s="106"/>
      <c r="E571" s="153" t="s">
        <v>507</v>
      </c>
      <c r="F571" s="100">
        <f>15120</f>
        <v>15120</v>
      </c>
      <c r="G571" s="100"/>
      <c r="H571" s="177">
        <f t="shared" si="27"/>
        <v>15120</v>
      </c>
      <c r="I571" s="127"/>
      <c r="J571" s="128"/>
      <c r="K571" s="128"/>
      <c r="L571" s="128"/>
      <c r="M571" s="128"/>
      <c r="N571" s="128"/>
      <c r="O571" s="128"/>
      <c r="P571" s="128"/>
      <c r="Q571" s="128"/>
    </row>
    <row r="572" spans="1:19" s="42" customFormat="1" ht="56.25" x14ac:dyDescent="0.2">
      <c r="A572" s="98"/>
      <c r="B572" s="98"/>
      <c r="C572" s="98"/>
      <c r="D572" s="99"/>
      <c r="E572" s="101" t="s">
        <v>429</v>
      </c>
      <c r="F572" s="100">
        <v>187790</v>
      </c>
      <c r="G572" s="100"/>
      <c r="H572" s="172">
        <f t="shared" ref="H572:H578" si="28">F572+G572</f>
        <v>187790</v>
      </c>
      <c r="I572" s="41"/>
      <c r="J572" s="41"/>
      <c r="K572" s="41"/>
      <c r="L572" s="41"/>
      <c r="M572" s="41"/>
      <c r="N572" s="41"/>
    </row>
    <row r="573" spans="1:19" s="42" customFormat="1" ht="56.25" x14ac:dyDescent="0.2">
      <c r="A573" s="98"/>
      <c r="B573" s="98"/>
      <c r="C573" s="98"/>
      <c r="D573" s="99"/>
      <c r="E573" s="101" t="s">
        <v>430</v>
      </c>
      <c r="F573" s="100">
        <v>213490</v>
      </c>
      <c r="G573" s="100"/>
      <c r="H573" s="172">
        <f t="shared" si="28"/>
        <v>213490</v>
      </c>
      <c r="I573" s="41"/>
      <c r="J573" s="41"/>
      <c r="K573" s="41"/>
      <c r="L573" s="41"/>
      <c r="M573" s="41"/>
      <c r="N573" s="41"/>
    </row>
    <row r="574" spans="1:19" s="42" customFormat="1" ht="56.25" x14ac:dyDescent="0.2">
      <c r="A574" s="98"/>
      <c r="B574" s="98"/>
      <c r="C574" s="98"/>
      <c r="D574" s="99"/>
      <c r="E574" s="101" t="s">
        <v>433</v>
      </c>
      <c r="F574" s="100">
        <v>446750</v>
      </c>
      <c r="G574" s="100"/>
      <c r="H574" s="172">
        <f t="shared" si="28"/>
        <v>446750</v>
      </c>
      <c r="I574" s="41"/>
      <c r="J574" s="41"/>
      <c r="K574" s="41"/>
      <c r="L574" s="41"/>
      <c r="M574" s="41"/>
      <c r="N574" s="41"/>
    </row>
    <row r="575" spans="1:19" s="42" customFormat="1" ht="56.25" x14ac:dyDescent="0.2">
      <c r="A575" s="98"/>
      <c r="B575" s="98"/>
      <c r="C575" s="98"/>
      <c r="D575" s="99"/>
      <c r="E575" s="101" t="s">
        <v>431</v>
      </c>
      <c r="F575" s="100">
        <v>249450</v>
      </c>
      <c r="G575" s="100"/>
      <c r="H575" s="172">
        <f t="shared" si="28"/>
        <v>249450</v>
      </c>
      <c r="I575" s="41"/>
      <c r="J575" s="41"/>
      <c r="K575" s="41"/>
      <c r="L575" s="41"/>
      <c r="M575" s="41"/>
      <c r="N575" s="41"/>
    </row>
    <row r="576" spans="1:19" s="42" customFormat="1" ht="56.25" x14ac:dyDescent="0.2">
      <c r="A576" s="98"/>
      <c r="B576" s="98"/>
      <c r="C576" s="98"/>
      <c r="D576" s="99"/>
      <c r="E576" s="101" t="s">
        <v>432</v>
      </c>
      <c r="F576" s="100">
        <v>240800</v>
      </c>
      <c r="G576" s="100"/>
      <c r="H576" s="172">
        <f t="shared" si="28"/>
        <v>240800</v>
      </c>
      <c r="I576" s="41"/>
      <c r="J576" s="41"/>
      <c r="K576" s="41"/>
      <c r="L576" s="41"/>
      <c r="M576" s="41"/>
      <c r="N576" s="41"/>
    </row>
    <row r="577" spans="1:17" s="42" customFormat="1" ht="56.25" x14ac:dyDescent="0.2">
      <c r="A577" s="37" t="s">
        <v>147</v>
      </c>
      <c r="B577" s="37" t="s">
        <v>148</v>
      </c>
      <c r="C577" s="37" t="s">
        <v>149</v>
      </c>
      <c r="D577" s="38" t="s">
        <v>249</v>
      </c>
      <c r="E577" s="132"/>
      <c r="F577" s="64">
        <f>SUM(F578)</f>
        <v>2854000</v>
      </c>
      <c r="G577" s="64">
        <f>SUM(G578)</f>
        <v>0</v>
      </c>
      <c r="H577" s="171">
        <f t="shared" si="28"/>
        <v>2854000</v>
      </c>
      <c r="I577" s="41"/>
      <c r="J577" s="41"/>
      <c r="K577" s="41"/>
      <c r="L577" s="41"/>
      <c r="M577" s="41"/>
      <c r="N577" s="41"/>
    </row>
    <row r="578" spans="1:17" s="42" customFormat="1" ht="56.25" x14ac:dyDescent="0.2">
      <c r="A578" s="50"/>
      <c r="B578" s="50"/>
      <c r="C578" s="50"/>
      <c r="D578" s="106"/>
      <c r="E578" s="132" t="s">
        <v>481</v>
      </c>
      <c r="F578" s="100">
        <f>2942600-88600</f>
        <v>2854000</v>
      </c>
      <c r="G578" s="100"/>
      <c r="H578" s="177">
        <f t="shared" si="28"/>
        <v>2854000</v>
      </c>
      <c r="I578" s="41"/>
      <c r="J578" s="41"/>
      <c r="K578" s="41"/>
      <c r="L578" s="41"/>
      <c r="M578" s="41"/>
      <c r="N578" s="41"/>
    </row>
    <row r="579" spans="1:17" s="129" customFormat="1" ht="20.25" x14ac:dyDescent="0.2">
      <c r="A579" s="43" t="s">
        <v>59</v>
      </c>
      <c r="B579" s="43"/>
      <c r="C579" s="43"/>
      <c r="D579" s="43" t="s">
        <v>60</v>
      </c>
      <c r="E579" s="132"/>
      <c r="F579" s="45">
        <f>F585+F581+F593</f>
        <v>15346547</v>
      </c>
      <c r="G579" s="45">
        <f>G585+G581+G593</f>
        <v>800000</v>
      </c>
      <c r="H579" s="176">
        <f>F579+G579</f>
        <v>16146547</v>
      </c>
      <c r="I579" s="127"/>
      <c r="J579" s="128"/>
      <c r="K579" s="128"/>
      <c r="L579" s="128"/>
      <c r="M579" s="128"/>
      <c r="N579" s="128"/>
      <c r="O579" s="128"/>
      <c r="P579" s="128"/>
      <c r="Q579" s="128"/>
    </row>
    <row r="580" spans="1:17" s="129" customFormat="1" ht="20.25" x14ac:dyDescent="0.2">
      <c r="A580" s="43" t="s">
        <v>61</v>
      </c>
      <c r="B580" s="43"/>
      <c r="C580" s="43"/>
      <c r="D580" s="46" t="s">
        <v>60</v>
      </c>
      <c r="E580" s="132"/>
      <c r="F580" s="100"/>
      <c r="G580" s="100"/>
      <c r="H580" s="177"/>
      <c r="I580" s="127"/>
      <c r="J580" s="128"/>
      <c r="K580" s="128"/>
      <c r="L580" s="128"/>
      <c r="M580" s="128"/>
      <c r="N580" s="128"/>
      <c r="O580" s="128"/>
      <c r="P580" s="128"/>
      <c r="Q580" s="128"/>
    </row>
    <row r="581" spans="1:17" s="129" customFormat="1" ht="37.5" x14ac:dyDescent="0.2">
      <c r="A581" s="50" t="s">
        <v>62</v>
      </c>
      <c r="B581" s="50" t="s">
        <v>63</v>
      </c>
      <c r="C581" s="50" t="s">
        <v>64</v>
      </c>
      <c r="D581" s="51" t="s">
        <v>65</v>
      </c>
      <c r="E581" s="104"/>
      <c r="F581" s="52">
        <f>SUM(F582:F584)</f>
        <v>703547</v>
      </c>
      <c r="G581" s="52">
        <f>SUM(G582:G584)</f>
        <v>800000</v>
      </c>
      <c r="H581" s="168">
        <f t="shared" ref="H581:H584" si="29">F581+G581</f>
        <v>1503547</v>
      </c>
      <c r="I581" s="127"/>
      <c r="J581" s="128"/>
      <c r="K581" s="128"/>
      <c r="L581" s="128"/>
      <c r="M581" s="128"/>
      <c r="N581" s="128"/>
      <c r="O581" s="128"/>
      <c r="P581" s="128"/>
      <c r="Q581" s="128"/>
    </row>
    <row r="582" spans="1:17" s="129" customFormat="1" ht="37.5" x14ac:dyDescent="0.2">
      <c r="A582" s="34"/>
      <c r="B582" s="34"/>
      <c r="C582" s="34"/>
      <c r="D582" s="9"/>
      <c r="E582" s="132" t="s">
        <v>371</v>
      </c>
      <c r="F582" s="62">
        <v>117747</v>
      </c>
      <c r="G582" s="62"/>
      <c r="H582" s="172">
        <f t="shared" si="29"/>
        <v>117747</v>
      </c>
      <c r="I582" s="127"/>
      <c r="J582" s="128"/>
      <c r="K582" s="128"/>
      <c r="L582" s="128"/>
      <c r="M582" s="128"/>
      <c r="N582" s="128"/>
      <c r="O582" s="128"/>
      <c r="P582" s="128"/>
      <c r="Q582" s="128"/>
    </row>
    <row r="583" spans="1:17" s="129" customFormat="1" ht="131.25" x14ac:dyDescent="0.2">
      <c r="A583" s="34"/>
      <c r="B583" s="34"/>
      <c r="C583" s="34"/>
      <c r="D583" s="151"/>
      <c r="E583" s="152" t="s">
        <v>504</v>
      </c>
      <c r="F583" s="62">
        <f>338000</f>
        <v>338000</v>
      </c>
      <c r="G583" s="62">
        <f>800000</f>
        <v>800000</v>
      </c>
      <c r="H583" s="172">
        <f t="shared" si="29"/>
        <v>1138000</v>
      </c>
      <c r="I583" s="127"/>
      <c r="J583" s="128"/>
      <c r="K583" s="128"/>
      <c r="L583" s="128"/>
      <c r="M583" s="128"/>
      <c r="N583" s="128"/>
      <c r="O583" s="128"/>
      <c r="P583" s="128"/>
      <c r="Q583" s="128"/>
    </row>
    <row r="584" spans="1:17" s="129" customFormat="1" ht="131.25" x14ac:dyDescent="0.2">
      <c r="A584" s="34"/>
      <c r="B584" s="34"/>
      <c r="C584" s="34"/>
      <c r="D584" s="151"/>
      <c r="E584" s="152" t="s">
        <v>505</v>
      </c>
      <c r="F584" s="62">
        <f>247800</f>
        <v>247800</v>
      </c>
      <c r="G584" s="62"/>
      <c r="H584" s="172">
        <f t="shared" si="29"/>
        <v>247800</v>
      </c>
      <c r="I584" s="127"/>
      <c r="J584" s="128"/>
      <c r="K584" s="128"/>
      <c r="L584" s="128"/>
      <c r="M584" s="128"/>
      <c r="N584" s="128"/>
      <c r="O584" s="128"/>
      <c r="P584" s="128"/>
      <c r="Q584" s="128"/>
    </row>
    <row r="585" spans="1:17" s="129" customFormat="1" ht="37.5" x14ac:dyDescent="0.2">
      <c r="A585" s="50" t="s">
        <v>401</v>
      </c>
      <c r="B585" s="50" t="s">
        <v>402</v>
      </c>
      <c r="C585" s="50" t="s">
        <v>404</v>
      </c>
      <c r="D585" s="106" t="s">
        <v>403</v>
      </c>
      <c r="E585" s="132"/>
      <c r="F585" s="64">
        <f>SUM(F586:F592)</f>
        <v>3500000</v>
      </c>
      <c r="G585" s="64">
        <f>SUM(G586:G592)</f>
        <v>0</v>
      </c>
      <c r="H585" s="171">
        <f t="shared" ref="H585:H603" si="30">F585+G585</f>
        <v>3500000</v>
      </c>
      <c r="I585" s="127"/>
      <c r="J585" s="128"/>
      <c r="K585" s="128"/>
      <c r="L585" s="128"/>
      <c r="M585" s="128"/>
      <c r="N585" s="128"/>
      <c r="O585" s="128"/>
      <c r="P585" s="128"/>
      <c r="Q585" s="128"/>
    </row>
    <row r="586" spans="1:17" s="129" customFormat="1" ht="56.25" x14ac:dyDescent="0.2">
      <c r="A586" s="50"/>
      <c r="B586" s="50"/>
      <c r="C586" s="50"/>
      <c r="D586" s="106"/>
      <c r="E586" s="132" t="s">
        <v>271</v>
      </c>
      <c r="F586" s="100">
        <v>500000</v>
      </c>
      <c r="G586" s="100"/>
      <c r="H586" s="177">
        <f t="shared" si="30"/>
        <v>500000</v>
      </c>
      <c r="I586" s="127"/>
      <c r="J586" s="128"/>
      <c r="K586" s="128"/>
      <c r="L586" s="128"/>
      <c r="M586" s="128"/>
      <c r="N586" s="128"/>
      <c r="O586" s="128"/>
      <c r="P586" s="128"/>
      <c r="Q586" s="128"/>
    </row>
    <row r="587" spans="1:17" s="129" customFormat="1" ht="56.25" x14ac:dyDescent="0.2">
      <c r="A587" s="50"/>
      <c r="B587" s="50"/>
      <c r="C587" s="50"/>
      <c r="D587" s="106"/>
      <c r="E587" s="132" t="s">
        <v>272</v>
      </c>
      <c r="F587" s="100">
        <v>500000</v>
      </c>
      <c r="G587" s="100"/>
      <c r="H587" s="177">
        <f t="shared" si="30"/>
        <v>500000</v>
      </c>
      <c r="I587" s="127"/>
      <c r="J587" s="128"/>
      <c r="K587" s="128"/>
      <c r="L587" s="128"/>
      <c r="M587" s="128"/>
      <c r="N587" s="128"/>
      <c r="O587" s="128"/>
      <c r="P587" s="128"/>
      <c r="Q587" s="128"/>
    </row>
    <row r="588" spans="1:17" s="129" customFormat="1" ht="56.25" x14ac:dyDescent="0.2">
      <c r="A588" s="50"/>
      <c r="B588" s="50"/>
      <c r="C588" s="50"/>
      <c r="D588" s="106"/>
      <c r="E588" s="132" t="s">
        <v>273</v>
      </c>
      <c r="F588" s="100">
        <v>500000</v>
      </c>
      <c r="G588" s="100"/>
      <c r="H588" s="177">
        <f t="shared" si="30"/>
        <v>500000</v>
      </c>
      <c r="I588" s="127"/>
      <c r="J588" s="128"/>
      <c r="K588" s="128"/>
      <c r="L588" s="128"/>
      <c r="M588" s="128"/>
      <c r="N588" s="128"/>
      <c r="O588" s="128"/>
      <c r="P588" s="128"/>
      <c r="Q588" s="128"/>
    </row>
    <row r="589" spans="1:17" s="129" customFormat="1" ht="56.25" x14ac:dyDescent="0.2">
      <c r="A589" s="50"/>
      <c r="B589" s="50"/>
      <c r="C589" s="50"/>
      <c r="D589" s="106"/>
      <c r="E589" s="132" t="s">
        <v>274</v>
      </c>
      <c r="F589" s="100">
        <v>500000</v>
      </c>
      <c r="G589" s="100"/>
      <c r="H589" s="177">
        <f t="shared" si="30"/>
        <v>500000</v>
      </c>
      <c r="I589" s="127"/>
      <c r="J589" s="128"/>
      <c r="K589" s="128"/>
      <c r="L589" s="128"/>
      <c r="M589" s="128"/>
      <c r="N589" s="128"/>
      <c r="O589" s="128"/>
      <c r="P589" s="128"/>
      <c r="Q589" s="128"/>
    </row>
    <row r="590" spans="1:17" s="129" customFormat="1" ht="56.25" x14ac:dyDescent="0.2">
      <c r="A590" s="50"/>
      <c r="B590" s="50"/>
      <c r="C590" s="50"/>
      <c r="D590" s="106"/>
      <c r="E590" s="132" t="s">
        <v>275</v>
      </c>
      <c r="F590" s="100">
        <v>500000</v>
      </c>
      <c r="G590" s="100"/>
      <c r="H590" s="177">
        <f t="shared" si="30"/>
        <v>500000</v>
      </c>
      <c r="I590" s="127"/>
      <c r="J590" s="128"/>
      <c r="K590" s="128"/>
      <c r="L590" s="128"/>
      <c r="M590" s="128"/>
      <c r="N590" s="128"/>
      <c r="O590" s="128"/>
      <c r="P590" s="128"/>
      <c r="Q590" s="128"/>
    </row>
    <row r="591" spans="1:17" s="129" customFormat="1" ht="56.25" x14ac:dyDescent="0.2">
      <c r="A591" s="50"/>
      <c r="B591" s="50"/>
      <c r="C591" s="50"/>
      <c r="D591" s="106"/>
      <c r="E591" s="132" t="s">
        <v>276</v>
      </c>
      <c r="F591" s="100">
        <v>500000</v>
      </c>
      <c r="G591" s="100"/>
      <c r="H591" s="177">
        <f t="shared" si="30"/>
        <v>500000</v>
      </c>
      <c r="I591" s="127"/>
      <c r="J591" s="128"/>
      <c r="K591" s="128"/>
      <c r="L591" s="128"/>
      <c r="M591" s="128"/>
      <c r="N591" s="128"/>
      <c r="O591" s="128"/>
      <c r="P591" s="128"/>
      <c r="Q591" s="128"/>
    </row>
    <row r="592" spans="1:17" s="129" customFormat="1" ht="56.25" x14ac:dyDescent="0.2">
      <c r="A592" s="50"/>
      <c r="B592" s="50"/>
      <c r="C592" s="50"/>
      <c r="D592" s="106"/>
      <c r="E592" s="132" t="s">
        <v>373</v>
      </c>
      <c r="F592" s="100">
        <f>500000</f>
        <v>500000</v>
      </c>
      <c r="G592" s="100"/>
      <c r="H592" s="177">
        <f t="shared" si="30"/>
        <v>500000</v>
      </c>
      <c r="I592" s="127"/>
      <c r="J592" s="128"/>
      <c r="K592" s="128"/>
      <c r="L592" s="128"/>
      <c r="M592" s="128"/>
      <c r="N592" s="128"/>
      <c r="O592" s="128"/>
      <c r="P592" s="128"/>
      <c r="Q592" s="128"/>
    </row>
    <row r="593" spans="1:17" s="129" customFormat="1" ht="75" x14ac:dyDescent="0.2">
      <c r="A593" s="37" t="s">
        <v>482</v>
      </c>
      <c r="B593" s="37" t="s">
        <v>483</v>
      </c>
      <c r="C593" s="37" t="s">
        <v>484</v>
      </c>
      <c r="D593" s="38" t="s">
        <v>485</v>
      </c>
      <c r="E593" s="132"/>
      <c r="F593" s="64">
        <f>SUM(F594)</f>
        <v>11143000</v>
      </c>
      <c r="G593" s="64">
        <f>SUM(G594)</f>
        <v>0</v>
      </c>
      <c r="H593" s="171">
        <f t="shared" si="30"/>
        <v>11143000</v>
      </c>
      <c r="I593" s="127"/>
      <c r="J593" s="128"/>
      <c r="K593" s="128"/>
      <c r="L593" s="128"/>
      <c r="M593" s="128"/>
      <c r="N593" s="128"/>
      <c r="O593" s="128"/>
      <c r="P593" s="128"/>
      <c r="Q593" s="128"/>
    </row>
    <row r="594" spans="1:17" s="129" customFormat="1" ht="112.5" x14ac:dyDescent="0.2">
      <c r="A594" s="50"/>
      <c r="B594" s="50"/>
      <c r="C594" s="50"/>
      <c r="D594" s="106"/>
      <c r="E594" s="132" t="s">
        <v>486</v>
      </c>
      <c r="F594" s="100">
        <f>11143000</f>
        <v>11143000</v>
      </c>
      <c r="G594" s="100"/>
      <c r="H594" s="177">
        <f t="shared" si="30"/>
        <v>11143000</v>
      </c>
      <c r="I594" s="127"/>
      <c r="J594" s="128"/>
      <c r="K594" s="128"/>
      <c r="L594" s="128"/>
      <c r="M594" s="128"/>
      <c r="N594" s="128"/>
      <c r="O594" s="128"/>
      <c r="P594" s="128"/>
      <c r="Q594" s="128"/>
    </row>
    <row r="595" spans="1:17" s="129" customFormat="1" ht="37.5" x14ac:dyDescent="0.2">
      <c r="A595" s="136" t="s">
        <v>42</v>
      </c>
      <c r="B595" s="136"/>
      <c r="C595" s="136"/>
      <c r="D595" s="136" t="s">
        <v>43</v>
      </c>
      <c r="E595" s="137"/>
      <c r="F595" s="45">
        <f>F597+F599+F601</f>
        <v>4577603</v>
      </c>
      <c r="G595" s="45">
        <f>G597+G599+G601</f>
        <v>2884117</v>
      </c>
      <c r="H595" s="176">
        <f>F595+G595</f>
        <v>7461720</v>
      </c>
      <c r="I595" s="127"/>
      <c r="J595" s="128"/>
      <c r="K595" s="128"/>
      <c r="L595" s="128"/>
      <c r="M595" s="128"/>
      <c r="N595" s="128"/>
      <c r="O595" s="128"/>
      <c r="P595" s="128"/>
      <c r="Q595" s="128"/>
    </row>
    <row r="596" spans="1:17" s="129" customFormat="1" ht="37.5" x14ac:dyDescent="0.2">
      <c r="A596" s="136" t="s">
        <v>44</v>
      </c>
      <c r="B596" s="136"/>
      <c r="C596" s="136"/>
      <c r="D596" s="138" t="s">
        <v>43</v>
      </c>
      <c r="E596" s="137"/>
      <c r="F596" s="100"/>
      <c r="G596" s="100"/>
      <c r="H596" s="177">
        <f t="shared" si="30"/>
        <v>0</v>
      </c>
      <c r="I596" s="127"/>
      <c r="J596" s="128"/>
      <c r="K596" s="128"/>
      <c r="L596" s="128"/>
      <c r="M596" s="128"/>
      <c r="N596" s="128"/>
      <c r="O596" s="128"/>
      <c r="P596" s="128"/>
      <c r="Q596" s="128"/>
    </row>
    <row r="597" spans="1:17" s="129" customFormat="1" ht="356.25" x14ac:dyDescent="0.2">
      <c r="A597" s="139" t="s">
        <v>473</v>
      </c>
      <c r="B597" s="140" t="s">
        <v>474</v>
      </c>
      <c r="C597" s="140" t="s">
        <v>475</v>
      </c>
      <c r="D597" s="141" t="s">
        <v>476</v>
      </c>
      <c r="E597" s="142"/>
      <c r="F597" s="100">
        <f>F598</f>
        <v>2849551</v>
      </c>
      <c r="G597" s="64">
        <f>G598</f>
        <v>0</v>
      </c>
      <c r="H597" s="171">
        <f t="shared" si="30"/>
        <v>2849551</v>
      </c>
      <c r="I597" s="127"/>
      <c r="J597" s="128"/>
      <c r="K597" s="128"/>
      <c r="L597" s="128"/>
      <c r="M597" s="128"/>
      <c r="N597" s="128"/>
      <c r="O597" s="128"/>
      <c r="P597" s="128"/>
      <c r="Q597" s="128"/>
    </row>
    <row r="598" spans="1:17" s="129" customFormat="1" ht="262.5" x14ac:dyDescent="0.2">
      <c r="A598" s="143"/>
      <c r="B598" s="143"/>
      <c r="C598" s="143"/>
      <c r="D598" s="144"/>
      <c r="E598" s="150" t="s">
        <v>476</v>
      </c>
      <c r="F598" s="100">
        <v>2849551</v>
      </c>
      <c r="G598" s="100"/>
      <c r="H598" s="177">
        <f t="shared" si="30"/>
        <v>2849551</v>
      </c>
      <c r="I598" s="127"/>
      <c r="J598" s="128"/>
      <c r="K598" s="128"/>
      <c r="L598" s="128"/>
      <c r="M598" s="128"/>
      <c r="N598" s="128"/>
      <c r="O598" s="128"/>
      <c r="P598" s="128"/>
      <c r="Q598" s="128"/>
    </row>
    <row r="599" spans="1:17" s="129" customFormat="1" ht="300" x14ac:dyDescent="0.2">
      <c r="A599" s="140" t="s">
        <v>477</v>
      </c>
      <c r="B599" s="140" t="s">
        <v>478</v>
      </c>
      <c r="C599" s="140" t="s">
        <v>475</v>
      </c>
      <c r="D599" s="145" t="s">
        <v>479</v>
      </c>
      <c r="E599" s="142"/>
      <c r="F599" s="100">
        <f>F600</f>
        <v>1728052</v>
      </c>
      <c r="G599" s="64">
        <f>G600</f>
        <v>0</v>
      </c>
      <c r="H599" s="171">
        <f t="shared" si="30"/>
        <v>1728052</v>
      </c>
      <c r="I599" s="127"/>
      <c r="J599" s="128"/>
      <c r="K599" s="128"/>
      <c r="L599" s="128"/>
      <c r="M599" s="128"/>
      <c r="N599" s="128"/>
      <c r="O599" s="128"/>
      <c r="P599" s="128"/>
      <c r="Q599" s="128"/>
    </row>
    <row r="600" spans="1:17" s="129" customFormat="1" ht="211.5" customHeight="1" x14ac:dyDescent="0.2">
      <c r="A600" s="143"/>
      <c r="B600" s="143"/>
      <c r="C600" s="143"/>
      <c r="D600" s="144"/>
      <c r="E600" s="150" t="s">
        <v>479</v>
      </c>
      <c r="F600" s="100">
        <v>1728052</v>
      </c>
      <c r="G600" s="100"/>
      <c r="H600" s="177">
        <f t="shared" si="30"/>
        <v>1728052</v>
      </c>
      <c r="I600" s="127"/>
      <c r="J600" s="128"/>
      <c r="K600" s="128"/>
      <c r="L600" s="128"/>
      <c r="M600" s="128"/>
      <c r="N600" s="128"/>
      <c r="O600" s="128"/>
      <c r="P600" s="128"/>
      <c r="Q600" s="128"/>
    </row>
    <row r="601" spans="1:17" s="129" customFormat="1" ht="112.5" x14ac:dyDescent="0.2">
      <c r="A601" s="140" t="s">
        <v>513</v>
      </c>
      <c r="B601" s="140" t="s">
        <v>514</v>
      </c>
      <c r="C601" s="140" t="s">
        <v>51</v>
      </c>
      <c r="D601" s="145" t="s">
        <v>512</v>
      </c>
      <c r="E601" s="142"/>
      <c r="F601" s="100">
        <f>F602</f>
        <v>0</v>
      </c>
      <c r="G601" s="64">
        <f>G602</f>
        <v>2884117</v>
      </c>
      <c r="H601" s="171">
        <f t="shared" ref="H601:H602" si="31">F601+G601</f>
        <v>2884117</v>
      </c>
      <c r="I601" s="127"/>
      <c r="J601" s="128"/>
      <c r="K601" s="128"/>
      <c r="L601" s="128"/>
      <c r="M601" s="128"/>
      <c r="N601" s="128"/>
      <c r="O601" s="128"/>
      <c r="P601" s="128"/>
      <c r="Q601" s="128"/>
    </row>
    <row r="602" spans="1:17" s="129" customFormat="1" ht="75" x14ac:dyDescent="0.2">
      <c r="A602" s="143"/>
      <c r="B602" s="143"/>
      <c r="C602" s="143"/>
      <c r="D602" s="144"/>
      <c r="E602" s="150" t="s">
        <v>512</v>
      </c>
      <c r="F602" s="100"/>
      <c r="G602" s="100">
        <f>2884117</f>
        <v>2884117</v>
      </c>
      <c r="H602" s="177">
        <f t="shared" si="31"/>
        <v>2884117</v>
      </c>
      <c r="I602" s="127"/>
      <c r="J602" s="128"/>
      <c r="K602" s="128"/>
      <c r="L602" s="128"/>
      <c r="M602" s="128"/>
      <c r="N602" s="128"/>
      <c r="O602" s="128"/>
      <c r="P602" s="128"/>
      <c r="Q602" s="128"/>
    </row>
    <row r="603" spans="1:17" s="129" customFormat="1" ht="37.5" x14ac:dyDescent="0.2">
      <c r="A603" s="43" t="s">
        <v>349</v>
      </c>
      <c r="B603" s="43"/>
      <c r="C603" s="43"/>
      <c r="D603" s="29" t="s">
        <v>82</v>
      </c>
      <c r="E603" s="132"/>
      <c r="F603" s="45">
        <f>F607+F605</f>
        <v>515253</v>
      </c>
      <c r="G603" s="45">
        <f>G607+G605</f>
        <v>60000000</v>
      </c>
      <c r="H603" s="176">
        <f t="shared" si="30"/>
        <v>60515253</v>
      </c>
      <c r="I603" s="127"/>
      <c r="J603" s="128"/>
      <c r="K603" s="128"/>
      <c r="L603" s="128"/>
      <c r="M603" s="128"/>
      <c r="N603" s="128"/>
      <c r="O603" s="128"/>
      <c r="P603" s="128"/>
      <c r="Q603" s="128"/>
    </row>
    <row r="604" spans="1:17" s="129" customFormat="1" ht="37.5" x14ac:dyDescent="0.2">
      <c r="A604" s="43" t="s">
        <v>350</v>
      </c>
      <c r="B604" s="43"/>
      <c r="C604" s="43"/>
      <c r="D604" s="35" t="s">
        <v>82</v>
      </c>
      <c r="E604" s="132"/>
      <c r="F604" s="100"/>
      <c r="G604" s="100"/>
      <c r="H604" s="176"/>
      <c r="I604" s="127"/>
      <c r="J604" s="128"/>
      <c r="K604" s="128"/>
      <c r="L604" s="128"/>
      <c r="M604" s="128"/>
      <c r="N604" s="128"/>
      <c r="O604" s="128"/>
      <c r="P604" s="128"/>
      <c r="Q604" s="128"/>
    </row>
    <row r="605" spans="1:17" ht="37.5" x14ac:dyDescent="0.2">
      <c r="A605" s="37" t="s">
        <v>76</v>
      </c>
      <c r="B605" s="37" t="s">
        <v>25</v>
      </c>
      <c r="C605" s="37" t="s">
        <v>26</v>
      </c>
      <c r="D605" s="38" t="s">
        <v>22</v>
      </c>
      <c r="E605" s="28"/>
      <c r="F605" s="40">
        <f>SUM(F606)</f>
        <v>0</v>
      </c>
      <c r="G605" s="40">
        <f>SUM(G606)</f>
        <v>60000000</v>
      </c>
      <c r="H605" s="168">
        <f t="shared" ref="H605" si="32">F605+G605</f>
        <v>60000000</v>
      </c>
      <c r="I605" s="116"/>
    </row>
    <row r="606" spans="1:17" ht="75" x14ac:dyDescent="0.2">
      <c r="A606" s="37"/>
      <c r="B606" s="57"/>
      <c r="C606" s="57"/>
      <c r="D606" s="38"/>
      <c r="E606" s="7" t="s">
        <v>88</v>
      </c>
      <c r="F606" s="62"/>
      <c r="G606" s="62">
        <v>60000000</v>
      </c>
      <c r="H606" s="166">
        <f>F606+G606</f>
        <v>60000000</v>
      </c>
    </row>
    <row r="607" spans="1:17" s="129" customFormat="1" ht="56.25" x14ac:dyDescent="0.2">
      <c r="A607" s="50" t="s">
        <v>351</v>
      </c>
      <c r="B607" s="50" t="s">
        <v>352</v>
      </c>
      <c r="C607" s="50" t="s">
        <v>9</v>
      </c>
      <c r="D607" s="106" t="s">
        <v>353</v>
      </c>
      <c r="E607" s="132"/>
      <c r="F607" s="64">
        <f>SUM(F608:F609)</f>
        <v>515253</v>
      </c>
      <c r="G607" s="64">
        <f>SUM(G608:G609)</f>
        <v>0</v>
      </c>
      <c r="H607" s="171">
        <f t="shared" ref="H607:H609" si="33">F607+G607</f>
        <v>515253</v>
      </c>
      <c r="I607" s="127"/>
      <c r="J607" s="128"/>
      <c r="K607" s="128"/>
      <c r="L607" s="128"/>
      <c r="M607" s="128"/>
      <c r="N607" s="128"/>
      <c r="O607" s="128"/>
      <c r="P607" s="128"/>
      <c r="Q607" s="128"/>
    </row>
    <row r="608" spans="1:17" s="129" customFormat="1" ht="56.25" x14ac:dyDescent="0.2">
      <c r="A608" s="50"/>
      <c r="B608" s="50"/>
      <c r="C608" s="50"/>
      <c r="D608" s="106"/>
      <c r="E608" s="132" t="s">
        <v>354</v>
      </c>
      <c r="F608" s="100">
        <f>515253-300000</f>
        <v>215253</v>
      </c>
      <c r="G608" s="100"/>
      <c r="H608" s="177">
        <f t="shared" si="33"/>
        <v>215253</v>
      </c>
      <c r="I608" s="127"/>
      <c r="J608" s="128"/>
      <c r="K608" s="146"/>
      <c r="L608" s="128"/>
      <c r="M608" s="128"/>
      <c r="N608" s="128"/>
      <c r="O608" s="128"/>
      <c r="P608" s="128"/>
      <c r="Q608" s="128"/>
    </row>
    <row r="609" spans="1:19" s="129" customFormat="1" ht="20.25" x14ac:dyDescent="0.2">
      <c r="A609" s="50"/>
      <c r="B609" s="50"/>
      <c r="C609" s="50"/>
      <c r="D609" s="106"/>
      <c r="E609" s="132" t="s">
        <v>385</v>
      </c>
      <c r="F609" s="100">
        <f>300000</f>
        <v>300000</v>
      </c>
      <c r="G609" s="100"/>
      <c r="H609" s="177">
        <f t="shared" si="33"/>
        <v>300000</v>
      </c>
      <c r="I609" s="127"/>
      <c r="J609" s="128"/>
      <c r="K609" s="128"/>
      <c r="L609" s="128"/>
      <c r="M609" s="128"/>
      <c r="N609" s="128"/>
      <c r="O609" s="128"/>
      <c r="P609" s="128"/>
      <c r="Q609" s="128"/>
    </row>
    <row r="610" spans="1:19" s="129" customFormat="1" ht="40.5" x14ac:dyDescent="0.2">
      <c r="A610" s="50"/>
      <c r="B610" s="50"/>
      <c r="C610" s="50"/>
      <c r="D610" s="106"/>
      <c r="E610" s="73" t="s">
        <v>188</v>
      </c>
      <c r="F610" s="74">
        <f>F563+F565+F579+F603+F595</f>
        <v>497273674</v>
      </c>
      <c r="G610" s="74">
        <f>G563+G565+G579+G603+G595</f>
        <v>-22262456</v>
      </c>
      <c r="H610" s="178">
        <f>H563+H565+H579+H603+H595</f>
        <v>475011218</v>
      </c>
      <c r="I610" s="127"/>
      <c r="J610" s="155"/>
      <c r="K610" s="155"/>
      <c r="L610" s="156"/>
      <c r="M610" s="157"/>
      <c r="N610" s="13"/>
      <c r="O610" s="11"/>
      <c r="P610" s="12"/>
      <c r="Q610" s="128"/>
    </row>
    <row r="611" spans="1:19" s="125" customFormat="1" ht="20.25" x14ac:dyDescent="0.2">
      <c r="A611" s="124"/>
      <c r="B611" s="124"/>
      <c r="C611" s="124"/>
      <c r="D611" s="124"/>
      <c r="E611" s="73" t="s">
        <v>266</v>
      </c>
      <c r="F611" s="93">
        <f>F610+F213</f>
        <v>779093720</v>
      </c>
      <c r="G611" s="93">
        <f>G610+G213</f>
        <v>-13112456</v>
      </c>
      <c r="H611" s="173">
        <f>H610+H213</f>
        <v>765981264</v>
      </c>
      <c r="I611" s="11"/>
      <c r="J611" s="13"/>
      <c r="K611" s="13"/>
      <c r="L611" s="11"/>
      <c r="M611" s="12"/>
      <c r="N611" s="14"/>
      <c r="O611" s="15"/>
      <c r="P611" s="15"/>
      <c r="Q611" s="11"/>
      <c r="R611" s="11"/>
      <c r="S611" s="11"/>
    </row>
    <row r="612" spans="1:19" ht="20.25" x14ac:dyDescent="0.2">
      <c r="J612" s="13"/>
      <c r="K612" s="14"/>
    </row>
    <row r="614" spans="1:19" x14ac:dyDescent="0.2">
      <c r="C614" s="18" t="s">
        <v>523</v>
      </c>
      <c r="D614" s="148"/>
      <c r="E614" s="148"/>
      <c r="F614" s="147" t="s">
        <v>522</v>
      </c>
    </row>
    <row r="615" spans="1:19" x14ac:dyDescent="0.2">
      <c r="F615" s="149"/>
      <c r="G615" s="149"/>
      <c r="H615" s="180"/>
      <c r="J615" s="18"/>
    </row>
    <row r="616" spans="1:19" x14ac:dyDescent="0.2">
      <c r="F616" s="149"/>
      <c r="G616" s="149"/>
      <c r="H616" s="180"/>
    </row>
    <row r="621" spans="1:19" x14ac:dyDescent="0.2">
      <c r="H621" s="180"/>
    </row>
  </sheetData>
  <mergeCells count="10">
    <mergeCell ref="A214:H214"/>
    <mergeCell ref="A564:E564"/>
    <mergeCell ref="F1:H1"/>
    <mergeCell ref="F2:H2"/>
    <mergeCell ref="F3:H3"/>
    <mergeCell ref="A5:H5"/>
    <mergeCell ref="A8:H8"/>
    <mergeCell ref="A1:E1"/>
    <mergeCell ref="A2:D2"/>
    <mergeCell ref="A148:E148"/>
  </mergeCells>
  <conditionalFormatting sqref="D288:D289">
    <cfRule type="uniqueValues" dxfId="1" priority="1" stopIfTrue="1"/>
  </conditionalFormatting>
  <conditionalFormatting sqref="B288:B289">
    <cfRule type="uniqueValues" dxfId="0" priority="2" stopIfTrue="1"/>
  </conditionalFormatting>
  <pageMargins left="0" right="0" top="1.3779527559055118" bottom="0" header="0.31496062992125984" footer="0.31496062992125984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27.10.2020</vt:lpstr>
      <vt:lpstr>'27.10.2020'!Заголовки_для_печати</vt:lpstr>
      <vt:lpstr>'27.10.2020'!Область_печати</vt:lpstr>
    </vt:vector>
  </TitlesOfParts>
  <Company>Организация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cp:lastPrinted>2020-12-21T12:20:24Z</cp:lastPrinted>
  <dcterms:created xsi:type="dcterms:W3CDTF">2015-09-11T08:54:23Z</dcterms:created>
  <dcterms:modified xsi:type="dcterms:W3CDTF">2020-12-21T18:32:10Z</dcterms:modified>
</cp:coreProperties>
</file>